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vdBroek\AppData\Local\Microsoft\Windows\INetCache\Content.Outlook\YZM2TS44\"/>
    </mc:Choice>
  </mc:AlternateContent>
  <bookViews>
    <workbookView xWindow="0" yWindow="0" windowWidth="25200" windowHeight="11850" firstSheet="4" activeTab="4"/>
  </bookViews>
  <sheets>
    <sheet name="Blad1" sheetId="1" r:id="rId1"/>
    <sheet name="Blad2" sheetId="2" r:id="rId2"/>
    <sheet name="Blad3" sheetId="3" r:id="rId3"/>
    <sheet name="opgave en invulling" sheetId="4" r:id="rId4"/>
    <sheet name="opgave en invulling 50% SDE " sheetId="5" r:id="rId5"/>
    <sheet name="opgave en invulling 10 december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6" l="1"/>
  <c r="G16" i="6" l="1"/>
  <c r="V23" i="6" l="1"/>
  <c r="N21" i="6"/>
  <c r="L21" i="6"/>
  <c r="K21" i="6"/>
  <c r="F21" i="6"/>
  <c r="D21" i="6"/>
  <c r="C21" i="6"/>
  <c r="B21" i="6"/>
  <c r="O20" i="6"/>
  <c r="M20" i="6"/>
  <c r="J20" i="6"/>
  <c r="I20" i="6"/>
  <c r="H20" i="6" s="1"/>
  <c r="O19" i="6"/>
  <c r="M19" i="6"/>
  <c r="J19" i="6"/>
  <c r="I19" i="6"/>
  <c r="H19" i="6" s="1"/>
  <c r="AB19" i="6" s="1"/>
  <c r="O18" i="6"/>
  <c r="M18" i="6"/>
  <c r="J18" i="6"/>
  <c r="I18" i="6"/>
  <c r="H18" i="6" s="1"/>
  <c r="AD17" i="6"/>
  <c r="Z17" i="6"/>
  <c r="O17" i="6"/>
  <c r="M17" i="6"/>
  <c r="J17" i="6"/>
  <c r="I17" i="6"/>
  <c r="H17" i="6" s="1"/>
  <c r="AB17" i="6" s="1"/>
  <c r="O16" i="6"/>
  <c r="M16" i="6"/>
  <c r="J16" i="6"/>
  <c r="I16" i="6"/>
  <c r="H16" i="6" s="1"/>
  <c r="O15" i="6"/>
  <c r="M15" i="6"/>
  <c r="J15" i="6"/>
  <c r="I15" i="6"/>
  <c r="H15" i="6" s="1"/>
  <c r="AB15" i="6" s="1"/>
  <c r="E15" i="6"/>
  <c r="E21" i="6" s="1"/>
  <c r="AD14" i="6"/>
  <c r="Z14" i="6"/>
  <c r="O14" i="6"/>
  <c r="M14" i="6"/>
  <c r="J14" i="6"/>
  <c r="I14" i="6"/>
  <c r="H14" i="6" s="1"/>
  <c r="AB14" i="6" s="1"/>
  <c r="O13" i="6"/>
  <c r="M13" i="6"/>
  <c r="J13" i="6"/>
  <c r="I13" i="6"/>
  <c r="H13" i="6" s="1"/>
  <c r="AB13" i="6" s="1"/>
  <c r="O12" i="6"/>
  <c r="M12" i="6"/>
  <c r="J12" i="6"/>
  <c r="I12" i="6"/>
  <c r="AD11" i="6"/>
  <c r="Z11" i="6"/>
  <c r="O11" i="6"/>
  <c r="M11" i="6"/>
  <c r="J11" i="6"/>
  <c r="I11" i="6"/>
  <c r="O10" i="6"/>
  <c r="M10" i="6"/>
  <c r="J10" i="6"/>
  <c r="I10" i="6"/>
  <c r="H10" i="6" s="1"/>
  <c r="O9" i="6"/>
  <c r="M9" i="6"/>
  <c r="J9" i="6"/>
  <c r="I9" i="6"/>
  <c r="O8" i="6"/>
  <c r="M8" i="6"/>
  <c r="J8" i="6"/>
  <c r="I8" i="6"/>
  <c r="H8" i="6" s="1"/>
  <c r="AD7" i="6"/>
  <c r="Z7" i="6"/>
  <c r="O7" i="6"/>
  <c r="M7" i="6"/>
  <c r="J7" i="6"/>
  <c r="I7" i="6"/>
  <c r="H7" i="6"/>
  <c r="AD6" i="6"/>
  <c r="Z6" i="6"/>
  <c r="O6" i="6"/>
  <c r="M6" i="6"/>
  <c r="J6" i="6"/>
  <c r="I6" i="6"/>
  <c r="H6" i="6" s="1"/>
  <c r="G6" i="6"/>
  <c r="G21" i="6" s="1"/>
  <c r="Q9" i="6" l="1"/>
  <c r="S9" i="6" s="1"/>
  <c r="W9" i="6" s="1"/>
  <c r="AD9" i="6" s="1"/>
  <c r="AB10" i="6"/>
  <c r="Q11" i="6"/>
  <c r="S11" i="6" s="1"/>
  <c r="H11" i="6"/>
  <c r="AB11" i="6" s="1"/>
  <c r="U9" i="6"/>
  <c r="Z9" i="6" s="1"/>
  <c r="O21" i="6"/>
  <c r="H9" i="6"/>
  <c r="AB9" i="6" s="1"/>
  <c r="AB8" i="6"/>
  <c r="AB7" i="6"/>
  <c r="Q12" i="6"/>
  <c r="Q15" i="6"/>
  <c r="S15" i="6" s="1"/>
  <c r="U15" i="6" s="1"/>
  <c r="Z15" i="6" s="1"/>
  <c r="AB16" i="6"/>
  <c r="AB18" i="6"/>
  <c r="AB20" i="6"/>
  <c r="Q7" i="6"/>
  <c r="J21" i="6"/>
  <c r="Q10" i="6"/>
  <c r="S10" i="6" s="1"/>
  <c r="U10" i="6" s="1"/>
  <c r="Z10" i="6" s="1"/>
  <c r="Q14" i="6"/>
  <c r="Q17" i="6"/>
  <c r="S17" i="6" s="1"/>
  <c r="Q19" i="6"/>
  <c r="S19" i="6" s="1"/>
  <c r="W19" i="6" s="1"/>
  <c r="AD19" i="6" s="1"/>
  <c r="M21" i="6"/>
  <c r="Q8" i="6"/>
  <c r="Q13" i="6"/>
  <c r="S13" i="6" s="1"/>
  <c r="W13" i="6" s="1"/>
  <c r="AD13" i="6" s="1"/>
  <c r="R11" i="6"/>
  <c r="AB6" i="6"/>
  <c r="R9" i="6"/>
  <c r="R13" i="6"/>
  <c r="I21" i="6"/>
  <c r="H12" i="6"/>
  <c r="AB12" i="6" s="1"/>
  <c r="Q16" i="6"/>
  <c r="S16" i="6" s="1"/>
  <c r="Q18" i="6"/>
  <c r="S18" i="6" s="1"/>
  <c r="W18" i="6" s="1"/>
  <c r="AD18" i="6" s="1"/>
  <c r="Q20" i="6"/>
  <c r="S20" i="6" s="1"/>
  <c r="W20" i="6" s="1"/>
  <c r="AD20" i="6" s="1"/>
  <c r="Q6" i="6"/>
  <c r="S6" i="6" s="1"/>
  <c r="X23" i="5"/>
  <c r="U19" i="6" l="1"/>
  <c r="Z19" i="6" s="1"/>
  <c r="U13" i="6"/>
  <c r="Z13" i="6" s="1"/>
  <c r="U18" i="6"/>
  <c r="Z18" i="6" s="1"/>
  <c r="R7" i="6"/>
  <c r="S7" i="6"/>
  <c r="W10" i="6"/>
  <c r="AD10" i="6" s="1"/>
  <c r="R14" i="6"/>
  <c r="S14" i="6"/>
  <c r="R12" i="6"/>
  <c r="S12" i="6"/>
  <c r="U20" i="6"/>
  <c r="Z20" i="6" s="1"/>
  <c r="W15" i="6"/>
  <c r="AD15" i="6" s="1"/>
  <c r="R8" i="6"/>
  <c r="S8" i="6"/>
  <c r="W16" i="6"/>
  <c r="U16" i="6"/>
  <c r="R10" i="6"/>
  <c r="R15" i="6"/>
  <c r="R17" i="6"/>
  <c r="R19" i="6"/>
  <c r="R20" i="6"/>
  <c r="AB21" i="6"/>
  <c r="AC21" i="6" s="1"/>
  <c r="R16" i="6"/>
  <c r="H21" i="6"/>
  <c r="R18" i="6"/>
  <c r="Q21" i="6"/>
  <c r="R6" i="6"/>
  <c r="M19" i="5"/>
  <c r="M20" i="5"/>
  <c r="M18" i="5"/>
  <c r="M7" i="5"/>
  <c r="M8" i="5"/>
  <c r="M9" i="5"/>
  <c r="M10" i="5"/>
  <c r="M11" i="5"/>
  <c r="M12" i="5"/>
  <c r="M13" i="5"/>
  <c r="M14" i="5"/>
  <c r="M15" i="5"/>
  <c r="M16" i="5"/>
  <c r="M6" i="5"/>
  <c r="M17" i="5"/>
  <c r="W12" i="6" l="1"/>
  <c r="AD12" i="6" s="1"/>
  <c r="U12" i="6"/>
  <c r="Z12" i="6" s="1"/>
  <c r="W8" i="6"/>
  <c r="AD8" i="6" s="1"/>
  <c r="Z8" i="6"/>
  <c r="Z16" i="6"/>
  <c r="AD16" i="6"/>
  <c r="AC22" i="6"/>
  <c r="R21" i="6"/>
  <c r="S21" i="6"/>
  <c r="M21" i="5"/>
  <c r="G6" i="5"/>
  <c r="G13" i="5"/>
  <c r="W21" i="6" l="1"/>
  <c r="AD21" i="6"/>
  <c r="AE21" i="6" s="1"/>
  <c r="AE22" i="6" s="1"/>
  <c r="U21" i="6"/>
  <c r="Z21" i="6"/>
  <c r="AA21" i="6" s="1"/>
  <c r="AA22" i="6" s="1"/>
  <c r="AB25" i="6" s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6" i="5"/>
  <c r="I7" i="5"/>
  <c r="I8" i="5"/>
  <c r="I9" i="5"/>
  <c r="Q9" i="5" s="1"/>
  <c r="I10" i="5"/>
  <c r="H10" i="5" s="1"/>
  <c r="I11" i="5"/>
  <c r="I12" i="5"/>
  <c r="Q12" i="5" s="1"/>
  <c r="I13" i="5"/>
  <c r="H13" i="5" s="1"/>
  <c r="I14" i="5"/>
  <c r="I15" i="5"/>
  <c r="H15" i="5" s="1"/>
  <c r="I16" i="5"/>
  <c r="I17" i="5"/>
  <c r="Q17" i="5" s="1"/>
  <c r="R17" i="5" s="1"/>
  <c r="I18" i="5"/>
  <c r="H18" i="5" s="1"/>
  <c r="I19" i="5"/>
  <c r="I20" i="5"/>
  <c r="H20" i="5" s="1"/>
  <c r="I6" i="5"/>
  <c r="N21" i="5"/>
  <c r="L21" i="5"/>
  <c r="K21" i="5"/>
  <c r="F21" i="5"/>
  <c r="D21" i="5"/>
  <c r="C21" i="5"/>
  <c r="B21" i="5"/>
  <c r="AF20" i="5"/>
  <c r="AB20" i="5"/>
  <c r="V20" i="5"/>
  <c r="J20" i="5"/>
  <c r="AF19" i="5"/>
  <c r="AB19" i="5"/>
  <c r="V19" i="5"/>
  <c r="J19" i="5"/>
  <c r="AF18" i="5"/>
  <c r="AB18" i="5"/>
  <c r="V18" i="5"/>
  <c r="J18" i="5"/>
  <c r="AF17" i="5"/>
  <c r="AB17" i="5"/>
  <c r="V17" i="5"/>
  <c r="J17" i="5"/>
  <c r="AF16" i="5"/>
  <c r="AB16" i="5"/>
  <c r="V16" i="5"/>
  <c r="J16" i="5"/>
  <c r="AF15" i="5"/>
  <c r="AB15" i="5"/>
  <c r="V15" i="5"/>
  <c r="J15" i="5"/>
  <c r="G15" i="5"/>
  <c r="E15" i="5"/>
  <c r="AF14" i="5"/>
  <c r="AB14" i="5"/>
  <c r="V14" i="5"/>
  <c r="J14" i="5"/>
  <c r="AF13" i="5"/>
  <c r="AB13" i="5"/>
  <c r="V13" i="5"/>
  <c r="J13" i="5"/>
  <c r="AF12" i="5"/>
  <c r="AB12" i="5"/>
  <c r="V12" i="5"/>
  <c r="J12" i="5"/>
  <c r="H12" i="5"/>
  <c r="AD12" i="5" s="1"/>
  <c r="AF11" i="5"/>
  <c r="AB11" i="5"/>
  <c r="V11" i="5"/>
  <c r="J11" i="5"/>
  <c r="AF10" i="5"/>
  <c r="AB10" i="5"/>
  <c r="V10" i="5"/>
  <c r="J10" i="5"/>
  <c r="AF9" i="5"/>
  <c r="AB9" i="5"/>
  <c r="V9" i="5"/>
  <c r="J9" i="5"/>
  <c r="AF8" i="5"/>
  <c r="AB8" i="5"/>
  <c r="V8" i="5"/>
  <c r="J8" i="5"/>
  <c r="AF7" i="5"/>
  <c r="AB7" i="5"/>
  <c r="V7" i="5"/>
  <c r="J7" i="5"/>
  <c r="AF6" i="5"/>
  <c r="AB6" i="5"/>
  <c r="V6" i="5"/>
  <c r="V21" i="5" s="1"/>
  <c r="J6" i="5"/>
  <c r="AH19" i="4"/>
  <c r="AF19" i="4"/>
  <c r="AE19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4" i="4"/>
  <c r="K19" i="4"/>
  <c r="K18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4" i="4"/>
  <c r="I19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4" i="4"/>
  <c r="H19" i="4"/>
  <c r="G19" i="4"/>
  <c r="H13" i="4"/>
  <c r="H11" i="4"/>
  <c r="F13" i="4"/>
  <c r="F19" i="4" s="1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4" i="4"/>
  <c r="P19" i="4"/>
  <c r="O19" i="4"/>
  <c r="M19" i="4"/>
  <c r="N19" i="4"/>
  <c r="E19" i="4"/>
  <c r="L19" i="4"/>
  <c r="J19" i="4"/>
  <c r="AA29" i="1"/>
  <c r="AA28" i="1"/>
  <c r="Y29" i="1"/>
  <c r="Y28" i="1"/>
  <c r="X29" i="1"/>
  <c r="X28" i="1"/>
  <c r="AA26" i="1"/>
  <c r="AA25" i="1"/>
  <c r="Y25" i="1"/>
  <c r="Y26" i="1"/>
  <c r="X26" i="1"/>
  <c r="X25" i="1"/>
  <c r="AD10" i="5" l="1"/>
  <c r="Q6" i="5"/>
  <c r="R6" i="5" s="1"/>
  <c r="Q18" i="5"/>
  <c r="R18" i="5" s="1"/>
  <c r="Q10" i="5"/>
  <c r="R10" i="5" s="1"/>
  <c r="Q19" i="5"/>
  <c r="S19" i="5" s="1"/>
  <c r="AD20" i="5"/>
  <c r="J21" i="5"/>
  <c r="Q20" i="5"/>
  <c r="R20" i="5" s="1"/>
  <c r="G21" i="5"/>
  <c r="Q11" i="5"/>
  <c r="S11" i="5" s="1"/>
  <c r="H11" i="5"/>
  <c r="AD11" i="5" s="1"/>
  <c r="AD13" i="5"/>
  <c r="AD18" i="5"/>
  <c r="AF21" i="5"/>
  <c r="AG21" i="5" s="1"/>
  <c r="Q13" i="5"/>
  <c r="R13" i="5" s="1"/>
  <c r="AD15" i="5"/>
  <c r="S9" i="5"/>
  <c r="S12" i="5"/>
  <c r="O21" i="5"/>
  <c r="H6" i="5"/>
  <c r="AD6" i="5" s="1"/>
  <c r="Q14" i="5"/>
  <c r="S14" i="5" s="1"/>
  <c r="Q8" i="5"/>
  <c r="S8" i="5" s="1"/>
  <c r="Q16" i="5"/>
  <c r="S16" i="5" s="1"/>
  <c r="Q7" i="5"/>
  <c r="S7" i="5" s="1"/>
  <c r="R12" i="5"/>
  <c r="H17" i="5"/>
  <c r="AD17" i="5" s="1"/>
  <c r="H16" i="5"/>
  <c r="AD16" i="5" s="1"/>
  <c r="H8" i="5"/>
  <c r="AD8" i="5" s="1"/>
  <c r="H9" i="5"/>
  <c r="AD9" i="5" s="1"/>
  <c r="Q15" i="5"/>
  <c r="H7" i="5"/>
  <c r="AD7" i="5" s="1"/>
  <c r="H14" i="5"/>
  <c r="AD14" i="5" s="1"/>
  <c r="H19" i="5"/>
  <c r="AD19" i="5" s="1"/>
  <c r="I21" i="5"/>
  <c r="AB21" i="5"/>
  <c r="AC21" i="5" s="1"/>
  <c r="R9" i="5"/>
  <c r="E21" i="5"/>
  <c r="S17" i="5"/>
  <c r="Q19" i="4"/>
  <c r="AG19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4" i="4"/>
  <c r="R19" i="5" l="1"/>
  <c r="S18" i="5"/>
  <c r="S10" i="5"/>
  <c r="R16" i="5"/>
  <c r="S20" i="5"/>
  <c r="R11" i="5"/>
  <c r="S6" i="5"/>
  <c r="S13" i="5"/>
  <c r="R8" i="5"/>
  <c r="R14" i="5"/>
  <c r="AD21" i="5"/>
  <c r="AE21" i="5" s="1"/>
  <c r="Q21" i="5"/>
  <c r="R7" i="5"/>
  <c r="R15" i="5"/>
  <c r="H21" i="5"/>
  <c r="S15" i="5"/>
  <c r="B19" i="4"/>
  <c r="R19" i="4" s="1"/>
  <c r="AG19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4" i="1"/>
  <c r="AF20" i="1"/>
  <c r="AE20" i="1"/>
  <c r="AE22" i="5" l="1"/>
  <c r="R21" i="5"/>
  <c r="Y21" i="5" s="1"/>
  <c r="AG22" i="5"/>
  <c r="AC22" i="5"/>
  <c r="S21" i="5"/>
  <c r="W19" i="4"/>
  <c r="Y19" i="4"/>
  <c r="S12" i="4"/>
  <c r="T12" i="4" s="1"/>
  <c r="S11" i="4"/>
  <c r="T11" i="4" s="1"/>
  <c r="S4" i="4"/>
  <c r="T4" i="4" s="1"/>
  <c r="S18" i="4"/>
  <c r="T18" i="4" s="1"/>
  <c r="S16" i="4"/>
  <c r="T16" i="4" s="1"/>
  <c r="S6" i="4"/>
  <c r="T6" i="4" s="1"/>
  <c r="S10" i="4"/>
  <c r="T10" i="4" s="1"/>
  <c r="S5" i="4"/>
  <c r="T5" i="4" s="1"/>
  <c r="S17" i="4"/>
  <c r="T17" i="4" s="1"/>
  <c r="S9" i="4"/>
  <c r="T9" i="4" s="1"/>
  <c r="S7" i="4"/>
  <c r="T7" i="4" s="1"/>
  <c r="S8" i="4"/>
  <c r="T8" i="4" s="1"/>
  <c r="S13" i="4"/>
  <c r="T13" i="4" s="1"/>
  <c r="S15" i="4"/>
  <c r="T15" i="4" s="1"/>
  <c r="S14" i="4"/>
  <c r="T14" i="4" s="1"/>
  <c r="E6" i="3"/>
  <c r="B22" i="3"/>
  <c r="C7" i="3" s="1"/>
  <c r="AD25" i="5" l="1"/>
  <c r="W21" i="5"/>
  <c r="T19" i="4"/>
  <c r="C19" i="4"/>
  <c r="S19" i="4"/>
  <c r="C18" i="3"/>
  <c r="C21" i="3"/>
  <c r="C13" i="3"/>
  <c r="C20" i="3"/>
  <c r="C16" i="3"/>
  <c r="C12" i="3"/>
  <c r="C8" i="3"/>
  <c r="C6" i="3"/>
  <c r="C14" i="3"/>
  <c r="C10" i="3"/>
  <c r="C17" i="3"/>
  <c r="C9" i="3"/>
  <c r="C19" i="3"/>
  <c r="C15" i="3"/>
  <c r="C11" i="3"/>
  <c r="C17" i="2"/>
  <c r="C20" i="2"/>
  <c r="C19" i="2"/>
  <c r="C18" i="2"/>
  <c r="C16" i="2"/>
  <c r="C15" i="2"/>
  <c r="C14" i="2"/>
  <c r="BN20" i="1"/>
  <c r="BM20" i="1"/>
  <c r="BL20" i="1"/>
  <c r="BK20" i="1"/>
  <c r="BJ20" i="1"/>
  <c r="BI20" i="1"/>
  <c r="BH20" i="1"/>
  <c r="BG20" i="1"/>
  <c r="BO19" i="1"/>
  <c r="BO18" i="1"/>
  <c r="BO17" i="1"/>
  <c r="BO16" i="1"/>
  <c r="BO15" i="1"/>
  <c r="BH14" i="1"/>
  <c r="BO14" i="1" s="1"/>
  <c r="BO13" i="1"/>
  <c r="BO12" i="1"/>
  <c r="BO11" i="1"/>
  <c r="BO10" i="1"/>
  <c r="BO9" i="1"/>
  <c r="BO8" i="1"/>
  <c r="BO7" i="1"/>
  <c r="BO6" i="1"/>
  <c r="BO5" i="1"/>
  <c r="BO4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C5" i="1"/>
  <c r="BD5" i="1" s="1"/>
  <c r="BC6" i="1"/>
  <c r="BC7" i="1"/>
  <c r="BC8" i="1"/>
  <c r="BC9" i="1"/>
  <c r="BC10" i="1"/>
  <c r="BC11" i="1"/>
  <c r="BC12" i="1"/>
  <c r="BC13" i="1"/>
  <c r="BC15" i="1"/>
  <c r="BC16" i="1"/>
  <c r="BC17" i="1"/>
  <c r="BC18" i="1"/>
  <c r="BC19" i="1"/>
  <c r="BC4" i="1"/>
  <c r="BD4" i="1" s="1"/>
  <c r="AW20" i="1"/>
  <c r="C6" i="2"/>
  <c r="F5" i="2" s="1"/>
  <c r="C5" i="2"/>
  <c r="C9" i="2"/>
  <c r="F4" i="2" s="1"/>
  <c r="C8" i="2"/>
  <c r="F7" i="2" s="1"/>
  <c r="C7" i="2"/>
  <c r="F6" i="2" s="1"/>
  <c r="BB20" i="1"/>
  <c r="BA20" i="1"/>
  <c r="AZ20" i="1"/>
  <c r="AY20" i="1"/>
  <c r="AX20" i="1"/>
  <c r="AU20" i="1"/>
  <c r="AV14" i="1"/>
  <c r="BC14" i="1" s="1"/>
  <c r="AL14" i="1"/>
  <c r="AL20" i="1" s="1"/>
  <c r="AQ20" i="1"/>
  <c r="AP20" i="1"/>
  <c r="AO20" i="1"/>
  <c r="AN20" i="1"/>
  <c r="AM20" i="1"/>
  <c r="AK20" i="1"/>
  <c r="AR19" i="1"/>
  <c r="AR18" i="1"/>
  <c r="AR17" i="1"/>
  <c r="AR16" i="1"/>
  <c r="AR15" i="1"/>
  <c r="AR13" i="1"/>
  <c r="AR12" i="1"/>
  <c r="AR11" i="1"/>
  <c r="AR10" i="1"/>
  <c r="AR9" i="1"/>
  <c r="AR8" i="1"/>
  <c r="AR7" i="1"/>
  <c r="AR6" i="1"/>
  <c r="AR5" i="1"/>
  <c r="AR4" i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AB20" i="1"/>
  <c r="R20" i="1"/>
  <c r="G19" i="3" l="1"/>
  <c r="I19" i="3" s="1"/>
  <c r="J19" i="3" s="1"/>
  <c r="V4" i="4"/>
  <c r="G20" i="3"/>
  <c r="I20" i="3" s="1"/>
  <c r="J20" i="3" s="1"/>
  <c r="G14" i="3"/>
  <c r="I14" i="3" s="1"/>
  <c r="J14" i="3" s="1"/>
  <c r="G9" i="3"/>
  <c r="I9" i="3" s="1"/>
  <c r="J9" i="3" s="1"/>
  <c r="N9" i="3" s="1"/>
  <c r="G13" i="3"/>
  <c r="I13" i="3" s="1"/>
  <c r="J13" i="3" s="1"/>
  <c r="G17" i="3"/>
  <c r="I17" i="3" s="1"/>
  <c r="J17" i="3" s="1"/>
  <c r="G21" i="3"/>
  <c r="I21" i="3" s="1"/>
  <c r="J21" i="3" s="1"/>
  <c r="G7" i="3"/>
  <c r="I7" i="3" s="1"/>
  <c r="J7" i="3" s="1"/>
  <c r="L7" i="3" s="1"/>
  <c r="S7" i="3" s="1"/>
  <c r="G8" i="3"/>
  <c r="I8" i="3" s="1"/>
  <c r="J8" i="3" s="1"/>
  <c r="L8" i="3" s="1"/>
  <c r="S8" i="3" s="1"/>
  <c r="G11" i="3"/>
  <c r="I11" i="3" s="1"/>
  <c r="J11" i="3" s="1"/>
  <c r="G12" i="3"/>
  <c r="I12" i="3" s="1"/>
  <c r="J12" i="3" s="1"/>
  <c r="G10" i="3"/>
  <c r="I10" i="3" s="1"/>
  <c r="J10" i="3" s="1"/>
  <c r="G15" i="3"/>
  <c r="I15" i="3" s="1"/>
  <c r="J15" i="3" s="1"/>
  <c r="G16" i="3"/>
  <c r="I16" i="3" s="1"/>
  <c r="J16" i="3" s="1"/>
  <c r="G18" i="3"/>
  <c r="I18" i="3" s="1"/>
  <c r="J18" i="3" s="1"/>
  <c r="C22" i="3"/>
  <c r="BO20" i="1"/>
  <c r="AV20" i="1"/>
  <c r="BC20" i="1"/>
  <c r="AR14" i="1"/>
  <c r="AR20" i="1" s="1"/>
  <c r="V14" i="4" l="1"/>
  <c r="V11" i="4"/>
  <c r="V16" i="4"/>
  <c r="V7" i="4"/>
  <c r="V5" i="4"/>
  <c r="V6" i="4"/>
  <c r="V9" i="4"/>
  <c r="V17" i="4"/>
  <c r="V12" i="4"/>
  <c r="V10" i="4"/>
  <c r="V8" i="4"/>
  <c r="V18" i="4"/>
  <c r="V13" i="4"/>
  <c r="V15" i="4"/>
  <c r="AC19" i="4"/>
  <c r="AD19" i="4" s="1"/>
  <c r="N21" i="3"/>
  <c r="L21" i="3"/>
  <c r="S21" i="3" s="1"/>
  <c r="L17" i="3"/>
  <c r="S17" i="3" s="1"/>
  <c r="N17" i="3"/>
  <c r="N7" i="3"/>
  <c r="L9" i="3"/>
  <c r="S9" i="3" s="1"/>
  <c r="N8" i="3"/>
  <c r="N20" i="3"/>
  <c r="L20" i="3"/>
  <c r="S20" i="3" s="1"/>
  <c r="N13" i="3"/>
  <c r="L13" i="3"/>
  <c r="S13" i="3" s="1"/>
  <c r="L15" i="3"/>
  <c r="S15" i="3" s="1"/>
  <c r="N15" i="3"/>
  <c r="L19" i="3"/>
  <c r="S19" i="3" s="1"/>
  <c r="N19" i="3"/>
  <c r="L10" i="3"/>
  <c r="S10" i="3" s="1"/>
  <c r="N10" i="3"/>
  <c r="L18" i="3"/>
  <c r="S18" i="3" s="1"/>
  <c r="N18" i="3"/>
  <c r="N12" i="3"/>
  <c r="L12" i="3"/>
  <c r="S12" i="3" s="1"/>
  <c r="L16" i="3"/>
  <c r="S16" i="3" s="1"/>
  <c r="N16" i="3"/>
  <c r="N11" i="3"/>
  <c r="L11" i="3"/>
  <c r="S11" i="3" s="1"/>
  <c r="L14" i="3"/>
  <c r="S14" i="3" s="1"/>
  <c r="N14" i="3"/>
  <c r="AH20" i="1"/>
  <c r="AD20" i="1"/>
  <c r="AC20" i="1"/>
  <c r="AA20" i="1"/>
  <c r="Z20" i="1"/>
  <c r="Y20" i="1"/>
  <c r="X20" i="1"/>
  <c r="U13" i="1"/>
  <c r="U14" i="1"/>
  <c r="U15" i="1"/>
  <c r="U16" i="1"/>
  <c r="U17" i="1"/>
  <c r="U18" i="1"/>
  <c r="U19" i="1"/>
  <c r="U5" i="1"/>
  <c r="U6" i="1"/>
  <c r="U7" i="1"/>
  <c r="U8" i="1"/>
  <c r="U9" i="1"/>
  <c r="U10" i="1"/>
  <c r="U11" i="1"/>
  <c r="U12" i="1"/>
  <c r="U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4" i="1"/>
  <c r="V19" i="4" l="1"/>
  <c r="J20" i="1"/>
  <c r="U20" i="1"/>
  <c r="K20" i="1" l="1"/>
  <c r="B20" i="1" l="1"/>
  <c r="T20" i="1" l="1"/>
  <c r="S20" i="1"/>
  <c r="Q20" i="1"/>
  <c r="P20" i="1"/>
  <c r="O20" i="1"/>
  <c r="E20" i="1"/>
  <c r="F20" i="1"/>
  <c r="H20" i="1"/>
  <c r="I20" i="1"/>
  <c r="D20" i="1"/>
  <c r="G6" i="3"/>
  <c r="I6" i="3" s="1"/>
  <c r="F6" i="3"/>
  <c r="F22" i="3" s="1"/>
  <c r="AG20" i="1"/>
  <c r="E22" i="3" s="1"/>
  <c r="G22" i="3" l="1"/>
  <c r="I22" i="3" l="1"/>
  <c r="J6" i="3"/>
  <c r="L6" i="3" l="1"/>
  <c r="N6" i="3"/>
  <c r="N22" i="3" s="1"/>
  <c r="J22" i="3"/>
  <c r="K6" i="3" s="1"/>
  <c r="L22" i="3" l="1"/>
  <c r="S6" i="3"/>
  <c r="S22" i="3" s="1"/>
  <c r="P6" i="3"/>
  <c r="K9" i="3"/>
  <c r="K17" i="3"/>
  <c r="K10" i="3"/>
  <c r="K18" i="3"/>
  <c r="K12" i="3"/>
  <c r="K20" i="3"/>
  <c r="K7" i="3"/>
  <c r="K16" i="3"/>
  <c r="K11" i="3"/>
  <c r="K19" i="3"/>
  <c r="K14" i="3"/>
  <c r="K15" i="3"/>
  <c r="K8" i="3"/>
  <c r="K13" i="3"/>
  <c r="K21" i="3"/>
  <c r="P18" i="3" l="1"/>
  <c r="P21" i="3"/>
  <c r="P7" i="3"/>
  <c r="P15" i="3"/>
  <c r="P10" i="3"/>
  <c r="P12" i="3"/>
  <c r="P14" i="3"/>
  <c r="P19" i="3"/>
  <c r="P17" i="3"/>
  <c r="P8" i="3"/>
  <c r="P11" i="3"/>
  <c r="P9" i="3"/>
  <c r="P16" i="3"/>
  <c r="K22" i="3"/>
  <c r="P13" i="3"/>
  <c r="P20" i="3"/>
</calcChain>
</file>

<file path=xl/sharedStrings.xml><?xml version="1.0" encoding="utf-8"?>
<sst xmlns="http://schemas.openxmlformats.org/spreadsheetml/2006/main" count="425" uniqueCount="122">
  <si>
    <t xml:space="preserve">Scenario 1: pijplijn </t>
  </si>
  <si>
    <t>Wind</t>
  </si>
  <si>
    <t>Zon op veld</t>
  </si>
  <si>
    <t>Gemeente</t>
  </si>
  <si>
    <t>Aantal</t>
  </si>
  <si>
    <t>TWh</t>
  </si>
  <si>
    <t>Aantal ha</t>
  </si>
  <si>
    <t>Bernheze</t>
  </si>
  <si>
    <t>Boekel</t>
  </si>
  <si>
    <t>Boxmeer</t>
  </si>
  <si>
    <t>Boxtel</t>
  </si>
  <si>
    <t>Cuijk</t>
  </si>
  <si>
    <t>Grave</t>
  </si>
  <si>
    <t>Haaren</t>
  </si>
  <si>
    <t>Landerd</t>
  </si>
  <si>
    <t>Meijerijstad</t>
  </si>
  <si>
    <t>Mill en Sint Hubert</t>
  </si>
  <si>
    <t>Oss</t>
  </si>
  <si>
    <t>s'-Hertogenbosch</t>
  </si>
  <si>
    <t>Sint Anthonis</t>
  </si>
  <si>
    <t>Sint-Michielsgestel</t>
  </si>
  <si>
    <t>Uden</t>
  </si>
  <si>
    <t>Vught</t>
  </si>
  <si>
    <t>Totaal</t>
  </si>
  <si>
    <t>Reeds gerealiseerd</t>
  </si>
  <si>
    <t>Scenario 2: pijplijn + kaders vastgesteld</t>
  </si>
  <si>
    <t>Zon op dak kleinschalig</t>
  </si>
  <si>
    <t>Opgave op basis van huidig verbruik</t>
  </si>
  <si>
    <t>Twh</t>
  </si>
  <si>
    <t>Reeds gerealiseerd (zon SDE en wind)</t>
  </si>
  <si>
    <t>Zon op dak (grootschalig, SDE+ verleend 50% realisatie)</t>
  </si>
  <si>
    <t>Zon op dak (grootschalig, SDE+ verleend 100% realisatie)</t>
  </si>
  <si>
    <t>Zon op dak 40% potentieel benutten</t>
  </si>
  <si>
    <t>Scenario 3: pijplijn + kaders vastgesteld + 40% zon op dak</t>
  </si>
  <si>
    <t>Scenario 4: pijplijn + kaders vastgesteld + 40% zon op dak + 2 extra turbines EZDG + 20 ha overige gemeenten</t>
  </si>
  <si>
    <t>TWh per windmolen</t>
  </si>
  <si>
    <t>Veghel</t>
  </si>
  <si>
    <t>Boxmer</t>
  </si>
  <si>
    <t>EZDG (verdere uitbreiding)</t>
  </si>
  <si>
    <t>Duurzame polder Oss</t>
  </si>
  <si>
    <t>Duurzame polder Den Bosch</t>
  </si>
  <si>
    <t>Wind in zoekgebieden</t>
  </si>
  <si>
    <t>Opgave vs realisatie</t>
  </si>
  <si>
    <t>Scenario 6: maximaal potentie invullen obv zoekgebieden</t>
  </si>
  <si>
    <t>Scenario 5: pijplijn + kaders vastgesteld + 40% zon op dak + 2 extra EZDG +20 ha overige gemeenten + Duurzame polder + extra turbines Veghel - heesch west</t>
  </si>
  <si>
    <t>scenario 6</t>
  </si>
  <si>
    <t>scenario 5</t>
  </si>
  <si>
    <t>Gement Vught</t>
  </si>
  <si>
    <t>aantal wt</t>
  </si>
  <si>
    <t>Schijndelse Heide (Veghel)</t>
  </si>
  <si>
    <t>Nog te realiseren</t>
  </si>
  <si>
    <t>Extra TWh per gemeente</t>
  </si>
  <si>
    <t>CO2 reductie</t>
  </si>
  <si>
    <t>potentie zeokgebied</t>
  </si>
  <si>
    <t>over/tekort</t>
  </si>
  <si>
    <t>Scenario 3: ambitie</t>
  </si>
  <si>
    <t>%</t>
  </si>
  <si>
    <t>teveel / teweinig t.o.v. huidig verbruik verdeling</t>
  </si>
  <si>
    <t>vertaald in ha zonnepark</t>
  </si>
  <si>
    <t>Ha</t>
  </si>
  <si>
    <t>OF</t>
  </si>
  <si>
    <t>vertaald in windmolens</t>
  </si>
  <si>
    <t>aantal</t>
  </si>
  <si>
    <t>TWh per ha zon</t>
  </si>
  <si>
    <t>Zon op veld 
(vastgestelde beleidskaders)</t>
  </si>
  <si>
    <t>zon op veld 
beleidsvisies / moties</t>
  </si>
  <si>
    <t>zoekgebieden wind</t>
  </si>
  <si>
    <t>te realiseren per gemeente</t>
  </si>
  <si>
    <t>ha zon</t>
  </si>
  <si>
    <t>aantal windmolens</t>
  </si>
  <si>
    <t>Opgave op basis van huidig elektriciteit verbruik</t>
  </si>
  <si>
    <t>Wind (vergund / planologisch vastgelegd)</t>
  </si>
  <si>
    <t>ha</t>
  </si>
  <si>
    <t>Zon op veld (vastgelegde kaders)</t>
  </si>
  <si>
    <t>Zon op veld (ambities)</t>
  </si>
  <si>
    <t>Zon op dak 40% potentieel 
grote daken benutten</t>
  </si>
  <si>
    <t>verdeling Haaren</t>
  </si>
  <si>
    <t>Verdeling</t>
  </si>
  <si>
    <t>Vught totaal</t>
  </si>
  <si>
    <t>Boxtel Totaal</t>
  </si>
  <si>
    <t>teveel / te weinig t.o.v. huidig verbruik verdeling</t>
  </si>
  <si>
    <t>TWh /ha</t>
  </si>
  <si>
    <t>draagt bij %</t>
  </si>
  <si>
    <t>verschil met gewenste bijdrage</t>
  </si>
  <si>
    <t>TWh /windmolen</t>
  </si>
  <si>
    <t>zoekgebieden wind beschikbaar in gemeente</t>
  </si>
  <si>
    <t>groen = beschikbaar 
rood = niet beschikbaar</t>
  </si>
  <si>
    <t>Wind (ambities uitgesproken door wethouders)</t>
  </si>
  <si>
    <t>zon op dak</t>
  </si>
  <si>
    <t>Invulsheets opgave en invulling</t>
  </si>
  <si>
    <t>Totaal te realiseren per gemeente</t>
  </si>
  <si>
    <t>Meierijstad</t>
  </si>
  <si>
    <t>Gemeente 
(na herverdeling Haaren)</t>
  </si>
  <si>
    <t>zon op veld</t>
  </si>
  <si>
    <t>wind</t>
  </si>
  <si>
    <t xml:space="preserve">WIND  </t>
  </si>
  <si>
    <t xml:space="preserve">ZON OP DAK   </t>
  </si>
  <si>
    <t xml:space="preserve">ZON OP VELD  </t>
  </si>
  <si>
    <t>Wind                                                         (ambities uitgesproken door wethouders)</t>
  </si>
  <si>
    <t>Wind                                                           (vergund / planologisch vastgelegd)</t>
  </si>
  <si>
    <t>Zon op dak                                         (grootschalig, SDE+ verleend 50% realisatie)</t>
  </si>
  <si>
    <t>Zon op veld                                         (ambities)</t>
  </si>
  <si>
    <t>Zon op dak                                                   (+ 40% potentieel grote daken benutten)</t>
  </si>
  <si>
    <t>Totaal huidige bijdrage</t>
  </si>
  <si>
    <t>Teveel / te weinig bijdrage                                                t.o.v. huidig elektrictieitsverbruik</t>
  </si>
  <si>
    <t>tekort / overcapaciteit in TWh</t>
  </si>
  <si>
    <t>TOTAAL</t>
  </si>
  <si>
    <t>Zon op veld                                        (vastgelegde kaders / vergunningen)</t>
  </si>
  <si>
    <t>draagt op dit moment bij aan totale doelstelling %</t>
  </si>
  <si>
    <t>aantal ha zonnepark</t>
  </si>
  <si>
    <t>Totale opgave</t>
  </si>
  <si>
    <t xml:space="preserve">WAT NOG TE DOEN PER GEMEENTE </t>
  </si>
  <si>
    <t>Zon op dak                                                                                  (+ 40% potentieel grote daken benutten)</t>
  </si>
  <si>
    <t xml:space="preserve">totale bijdrage res </t>
  </si>
  <si>
    <t>wga</t>
  </si>
  <si>
    <t xml:space="preserve">wea wind </t>
  </si>
  <si>
    <t>wea zon op dak</t>
  </si>
  <si>
    <t>wea zov</t>
  </si>
  <si>
    <t xml:space="preserve">nog te doen </t>
  </si>
  <si>
    <t xml:space="preserve">pijplijn en ambituie </t>
  </si>
  <si>
    <t>hjln voor ambitiue zon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</si>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</sst>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%"/>
    <numFmt numFmtId="167" formatCode="0.0"/>
    <numFmt numFmtId="168" formatCode="0.00000"/>
  </numFmts>
  <fonts count="39" x14ac:knownFonts="1">
    <font>
      <sz val="11"/>
      <color theme="1"/>
      <name val="Calibri"/>
      <family val="2"/>
      <scheme val="minor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b/>
      <sz val="10"/>
      <color rgb="FFFF0000"/>
      <name val="Helvetica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b/>
      <sz val="10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Helvetica"/>
      <family val="2"/>
    </font>
    <font>
      <sz val="8"/>
      <color rgb="FFFF0000"/>
      <name val="Helvetica"/>
      <family val="2"/>
    </font>
    <font>
      <sz val="8"/>
      <color rgb="FF0070C0"/>
      <name val="Helvetic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Helvetica"/>
      <family val="2"/>
    </font>
    <font>
      <b/>
      <sz val="8"/>
      <color theme="0" tint="-0.249977111117893"/>
      <name val="Helvetica"/>
      <family val="2"/>
    </font>
    <font>
      <sz val="8"/>
      <color theme="0" tint="-0.249977111117893"/>
      <name val="Helvetica"/>
      <family val="2"/>
    </font>
    <font>
      <b/>
      <sz val="10"/>
      <color theme="0" tint="-0.249977111117893"/>
      <name val="Helvetic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5" fontId="2" fillId="2" borderId="5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65" fontId="10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5" fontId="11" fillId="0" borderId="5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165" fontId="15" fillId="0" borderId="5" xfId="0" applyNumberFormat="1" applyFont="1" applyBorder="1" applyAlignment="1">
      <alignment vertical="center" wrapText="1"/>
    </xf>
    <xf numFmtId="165" fontId="16" fillId="0" borderId="5" xfId="0" applyNumberFormat="1" applyFont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165" fontId="11" fillId="3" borderId="5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horizontal="center" wrapText="1"/>
    </xf>
    <xf numFmtId="0" fontId="0" fillId="0" borderId="9" xfId="0" applyBorder="1"/>
    <xf numFmtId="9" fontId="0" fillId="0" borderId="9" xfId="1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0" fontId="8" fillId="0" borderId="0" xfId="0" applyFont="1"/>
    <xf numFmtId="2" fontId="0" fillId="0" borderId="0" xfId="0" applyNumberFormat="1"/>
    <xf numFmtId="0" fontId="0" fillId="0" borderId="0" xfId="0" applyBorder="1"/>
    <xf numFmtId="0" fontId="1" fillId="0" borderId="11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2" xfId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0" xfId="0" applyBorder="1"/>
    <xf numFmtId="166" fontId="0" fillId="0" borderId="0" xfId="1" applyNumberFormat="1" applyFont="1"/>
    <xf numFmtId="166" fontId="0" fillId="0" borderId="0" xfId="0" applyNumberFormat="1"/>
    <xf numFmtId="166" fontId="0" fillId="0" borderId="10" xfId="1" applyNumberFormat="1" applyFont="1" applyBorder="1"/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9" fontId="17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1" fillId="0" borderId="1" xfId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2" borderId="4" xfId="0" applyNumberFormat="1" applyFont="1" applyFill="1" applyBorder="1" applyAlignment="1">
      <alignment horizontal="center"/>
    </xf>
    <xf numFmtId="167" fontId="17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vertical="center" wrapText="1"/>
    </xf>
    <xf numFmtId="1" fontId="11" fillId="0" borderId="5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2" fontId="3" fillId="2" borderId="5" xfId="0" applyNumberFormat="1" applyFont="1" applyFill="1" applyBorder="1" applyAlignment="1">
      <alignment vertical="center" wrapText="1"/>
    </xf>
    <xf numFmtId="0" fontId="0" fillId="0" borderId="2" xfId="0" applyBorder="1"/>
    <xf numFmtId="167" fontId="3" fillId="0" borderId="5" xfId="0" applyNumberFormat="1" applyFont="1" applyBorder="1" applyAlignment="1">
      <alignment horizontal="center" vertical="center" wrapText="1"/>
    </xf>
    <xf numFmtId="0" fontId="0" fillId="3" borderId="0" xfId="0" applyFill="1"/>
    <xf numFmtId="9" fontId="0" fillId="0" borderId="0" xfId="0" applyNumberFormat="1"/>
    <xf numFmtId="165" fontId="0" fillId="0" borderId="0" xfId="0" applyNumberFormat="1"/>
    <xf numFmtId="164" fontId="0" fillId="0" borderId="0" xfId="0" applyNumberFormat="1"/>
    <xf numFmtId="2" fontId="2" fillId="0" borderId="1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8" fontId="8" fillId="0" borderId="0" xfId="0" applyNumberFormat="1" applyFont="1"/>
    <xf numFmtId="0" fontId="1" fillId="0" borderId="4" xfId="0" applyFont="1" applyFill="1" applyBorder="1" applyAlignment="1">
      <alignment horizontal="center" vertical="center" wrapText="1"/>
    </xf>
    <xf numFmtId="9" fontId="17" fillId="0" borderId="1" xfId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" xfId="0" applyFont="1" applyBorder="1"/>
    <xf numFmtId="1" fontId="18" fillId="2" borderId="4" xfId="0" applyNumberFormat="1" applyFont="1" applyFill="1" applyBorder="1" applyAlignment="1">
      <alignment horizontal="center"/>
    </xf>
    <xf numFmtId="167" fontId="18" fillId="2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2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0" xfId="0" applyFont="1"/>
    <xf numFmtId="9" fontId="0" fillId="3" borderId="0" xfId="1" applyFont="1" applyFill="1"/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9" fillId="0" borderId="4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1" fillId="0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 wrapText="1"/>
    </xf>
    <xf numFmtId="9" fontId="31" fillId="0" borderId="14" xfId="0" applyNumberFormat="1" applyFont="1" applyFill="1" applyBorder="1" applyAlignment="1">
      <alignment horizontal="center" vertical="center" wrapText="1"/>
    </xf>
    <xf numFmtId="1" fontId="31" fillId="0" borderId="23" xfId="0" applyNumberFormat="1" applyFont="1" applyFill="1" applyBorder="1" applyAlignment="1">
      <alignment horizontal="center" vertical="center" wrapText="1"/>
    </xf>
    <xf numFmtId="165" fontId="35" fillId="0" borderId="24" xfId="0" applyNumberFormat="1" applyFont="1" applyFill="1" applyBorder="1" applyAlignment="1">
      <alignment horizontal="center" vertical="center" wrapText="1"/>
    </xf>
    <xf numFmtId="1" fontId="31" fillId="0" borderId="24" xfId="0" applyNumberFormat="1" applyFont="1" applyFill="1" applyBorder="1" applyAlignment="1">
      <alignment horizontal="center" vertical="center" wrapText="1"/>
    </xf>
    <xf numFmtId="2" fontId="31" fillId="0" borderId="25" xfId="0" applyNumberFormat="1" applyFont="1" applyFill="1" applyBorder="1" applyAlignment="1">
      <alignment horizontal="center" vertical="center" wrapText="1"/>
    </xf>
    <xf numFmtId="2" fontId="35" fillId="0" borderId="25" xfId="0" applyNumberFormat="1" applyFont="1" applyFill="1" applyBorder="1" applyAlignment="1">
      <alignment horizontal="center" vertical="center" wrapText="1"/>
    </xf>
    <xf numFmtId="2" fontId="35" fillId="0" borderId="24" xfId="0" applyNumberFormat="1" applyFont="1" applyFill="1" applyBorder="1" applyAlignment="1">
      <alignment horizontal="center" vertical="center" wrapText="1"/>
    </xf>
    <xf numFmtId="2" fontId="35" fillId="0" borderId="31" xfId="0" applyNumberFormat="1" applyFont="1" applyFill="1" applyBorder="1" applyAlignment="1">
      <alignment horizontal="center" vertical="center" wrapText="1"/>
    </xf>
    <xf numFmtId="2" fontId="31" fillId="0" borderId="32" xfId="0" applyNumberFormat="1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9" fontId="37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8" fillId="0" borderId="0" xfId="0" applyFont="1" applyFill="1"/>
    <xf numFmtId="1" fontId="36" fillId="0" borderId="4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2" fontId="36" fillId="0" borderId="1" xfId="0" applyNumberFormat="1" applyFont="1" applyFill="1" applyBorder="1" applyAlignment="1">
      <alignment horizontal="center"/>
    </xf>
    <xf numFmtId="9" fontId="31" fillId="0" borderId="4" xfId="0" applyNumberFormat="1" applyFont="1" applyFill="1" applyBorder="1" applyAlignment="1">
      <alignment horizontal="center"/>
    </xf>
    <xf numFmtId="0" fontId="8" fillId="0" borderId="27" xfId="0" applyFont="1" applyBorder="1" applyAlignment="1"/>
    <xf numFmtId="0" fontId="8" fillId="0" borderId="28" xfId="0" applyFont="1" applyBorder="1" applyAlignment="1"/>
    <xf numFmtId="0" fontId="8" fillId="0" borderId="33" xfId="0" applyFont="1" applyBorder="1" applyAlignment="1"/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9" fillId="4" borderId="4" xfId="0" applyFont="1" applyFill="1" applyBorder="1" applyAlignment="1">
      <alignment vertical="center" wrapText="1"/>
    </xf>
    <xf numFmtId="2" fontId="26" fillId="4" borderId="21" xfId="0" applyNumberFormat="1" applyFont="1" applyFill="1" applyBorder="1" applyAlignment="1">
      <alignment horizontal="center" vertical="center" wrapText="1"/>
    </xf>
    <xf numFmtId="9" fontId="26" fillId="4" borderId="14" xfId="1" applyFont="1" applyFill="1" applyBorder="1" applyAlignment="1">
      <alignment horizontal="center" vertical="center" wrapText="1"/>
    </xf>
    <xf numFmtId="2" fontId="27" fillId="4" borderId="21" xfId="0" applyNumberFormat="1" applyFont="1" applyFill="1" applyBorder="1" applyAlignment="1">
      <alignment horizontal="center" vertical="center" wrapText="1"/>
    </xf>
    <xf numFmtId="2" fontId="26" fillId="4" borderId="5" xfId="0" applyNumberFormat="1" applyFont="1" applyFill="1" applyBorder="1" applyAlignment="1">
      <alignment horizontal="center" vertical="center" wrapText="1"/>
    </xf>
    <xf numFmtId="2" fontId="31" fillId="4" borderId="5" xfId="0" applyNumberFormat="1" applyFont="1" applyFill="1" applyBorder="1" applyAlignment="1">
      <alignment horizontal="center" vertical="center" wrapText="1"/>
    </xf>
    <xf numFmtId="2" fontId="37" fillId="4" borderId="20" xfId="0" applyNumberFormat="1" applyFont="1" applyFill="1" applyBorder="1" applyAlignment="1">
      <alignment horizontal="center" vertical="center" wrapText="1"/>
    </xf>
    <xf numFmtId="1" fontId="26" fillId="4" borderId="21" xfId="0" applyNumberFormat="1" applyFont="1" applyFill="1" applyBorder="1" applyAlignment="1">
      <alignment horizontal="center" vertical="center" wrapText="1"/>
    </xf>
    <xf numFmtId="165" fontId="26" fillId="4" borderId="5" xfId="0" applyNumberFormat="1" applyFont="1" applyFill="1" applyBorder="1" applyAlignment="1">
      <alignment horizontal="center" vertical="center" wrapText="1"/>
    </xf>
    <xf numFmtId="1" fontId="27" fillId="4" borderId="5" xfId="0" applyNumberFormat="1" applyFont="1" applyFill="1" applyBorder="1" applyAlignment="1">
      <alignment horizontal="center" vertical="center" wrapText="1"/>
    </xf>
    <xf numFmtId="2" fontId="26" fillId="4" borderId="20" xfId="0" applyNumberFormat="1" applyFont="1" applyFill="1" applyBorder="1" applyAlignment="1">
      <alignment horizontal="center" vertical="center" wrapText="1"/>
    </xf>
    <xf numFmtId="2" fontId="26" fillId="4" borderId="14" xfId="0" applyNumberFormat="1" applyFont="1" applyFill="1" applyBorder="1" applyAlignment="1">
      <alignment horizontal="center" vertical="center" wrapText="1"/>
    </xf>
    <xf numFmtId="2" fontId="26" fillId="4" borderId="32" xfId="0" applyNumberFormat="1" applyFont="1" applyFill="1" applyBorder="1" applyAlignment="1">
      <alignment horizontal="center" vertical="center" wrapText="1"/>
    </xf>
    <xf numFmtId="9" fontId="23" fillId="4" borderId="1" xfId="1" applyFont="1" applyFill="1" applyBorder="1" applyAlignment="1">
      <alignment horizontal="center"/>
    </xf>
    <xf numFmtId="9" fontId="23" fillId="4" borderId="0" xfId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0" xfId="0" applyFill="1"/>
    <xf numFmtId="1" fontId="0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9" fillId="5" borderId="4" xfId="0" applyFont="1" applyFill="1" applyBorder="1" applyAlignment="1">
      <alignment vertical="center" wrapText="1"/>
    </xf>
    <xf numFmtId="2" fontId="26" fillId="5" borderId="21" xfId="0" applyNumberFormat="1" applyFont="1" applyFill="1" applyBorder="1" applyAlignment="1">
      <alignment horizontal="center" vertical="center" wrapText="1"/>
    </xf>
    <xf numFmtId="9" fontId="26" fillId="5" borderId="14" xfId="1" applyFont="1" applyFill="1" applyBorder="1" applyAlignment="1">
      <alignment horizontal="center" vertical="center" wrapText="1"/>
    </xf>
    <xf numFmtId="1" fontId="27" fillId="5" borderId="21" xfId="0" applyNumberFormat="1" applyFont="1" applyFill="1" applyBorder="1" applyAlignment="1">
      <alignment horizontal="center" vertical="center" wrapText="1"/>
    </xf>
    <xf numFmtId="165" fontId="26" fillId="5" borderId="5" xfId="0" applyNumberFormat="1" applyFont="1" applyFill="1" applyBorder="1" applyAlignment="1">
      <alignment horizontal="center" vertical="center" wrapText="1"/>
    </xf>
    <xf numFmtId="1" fontId="31" fillId="5" borderId="5" xfId="0" applyNumberFormat="1" applyFont="1" applyFill="1" applyBorder="1" applyAlignment="1">
      <alignment horizontal="center" vertical="center" wrapText="1"/>
    </xf>
    <xf numFmtId="2" fontId="37" fillId="5" borderId="20" xfId="0" applyNumberFormat="1" applyFont="1" applyFill="1" applyBorder="1" applyAlignment="1">
      <alignment horizontal="center" vertical="center" wrapText="1"/>
    </xf>
    <xf numFmtId="1" fontId="26" fillId="5" borderId="21" xfId="0" applyNumberFormat="1" applyFont="1" applyFill="1" applyBorder="1" applyAlignment="1">
      <alignment horizontal="center" vertical="center" wrapText="1"/>
    </xf>
    <xf numFmtId="1" fontId="27" fillId="5" borderId="5" xfId="0" applyNumberFormat="1" applyFont="1" applyFill="1" applyBorder="1" applyAlignment="1">
      <alignment horizontal="center" vertical="center" wrapText="1"/>
    </xf>
    <xf numFmtId="2" fontId="26" fillId="5" borderId="20" xfId="0" applyNumberFormat="1" applyFont="1" applyFill="1" applyBorder="1" applyAlignment="1">
      <alignment horizontal="center" vertical="center" wrapText="1"/>
    </xf>
    <xf numFmtId="2" fontId="26" fillId="5" borderId="5" xfId="0" applyNumberFormat="1" applyFont="1" applyFill="1" applyBorder="1" applyAlignment="1">
      <alignment horizontal="center" vertical="center" wrapText="1"/>
    </xf>
    <xf numFmtId="2" fontId="26" fillId="5" borderId="14" xfId="0" applyNumberFormat="1" applyFont="1" applyFill="1" applyBorder="1" applyAlignment="1">
      <alignment horizontal="center" vertical="center" wrapText="1"/>
    </xf>
    <xf numFmtId="2" fontId="26" fillId="5" borderId="32" xfId="0" applyNumberFormat="1" applyFont="1" applyFill="1" applyBorder="1" applyAlignment="1">
      <alignment horizontal="center" vertical="center" wrapText="1"/>
    </xf>
    <xf numFmtId="9" fontId="23" fillId="5" borderId="1" xfId="1" applyFont="1" applyFill="1" applyBorder="1" applyAlignment="1">
      <alignment horizontal="center"/>
    </xf>
    <xf numFmtId="9" fontId="23" fillId="5" borderId="0" xfId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27" fillId="5" borderId="2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2" fontId="27" fillId="5" borderId="21" xfId="0" applyNumberFormat="1" applyFont="1" applyFill="1" applyBorder="1" applyAlignment="1">
      <alignment horizontal="center" vertical="center" wrapText="1"/>
    </xf>
    <xf numFmtId="2" fontId="31" fillId="5" borderId="5" xfId="0" applyNumberFormat="1" applyFont="1" applyFill="1" applyBorder="1" applyAlignment="1">
      <alignment horizontal="center" vertical="center" wrapText="1"/>
    </xf>
    <xf numFmtId="2" fontId="26" fillId="5" borderId="29" xfId="0" applyNumberFormat="1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 wrapText="1"/>
    </xf>
    <xf numFmtId="0" fontId="0" fillId="5" borderId="10" xfId="0" applyFill="1" applyBorder="1"/>
    <xf numFmtId="2" fontId="26" fillId="5" borderId="30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9" fillId="0" borderId="0" xfId="0" applyFont="1" applyFill="1"/>
    <xf numFmtId="0" fontId="0" fillId="0" borderId="0" xfId="0" applyFill="1"/>
    <xf numFmtId="0" fontId="0" fillId="0" borderId="0" xfId="0" applyFill="1" applyBorder="1"/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6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 wrapText="1"/>
    </xf>
    <xf numFmtId="9" fontId="26" fillId="0" borderId="14" xfId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 wrapText="1"/>
    </xf>
    <xf numFmtId="2" fontId="26" fillId="0" borderId="20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2" fontId="26" fillId="0" borderId="32" xfId="0" applyNumberFormat="1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/>
    </xf>
    <xf numFmtId="9" fontId="23" fillId="0" borderId="1" xfId="1" applyFont="1" applyFill="1" applyBorder="1" applyAlignment="1">
      <alignment horizontal="center"/>
    </xf>
    <xf numFmtId="9" fontId="23" fillId="0" borderId="0" xfId="1" applyFont="1" applyFill="1" applyBorder="1" applyAlignment="1">
      <alignment horizontal="center"/>
    </xf>
    <xf numFmtId="166" fontId="0" fillId="0" borderId="0" xfId="1" applyNumberFormat="1" applyFont="1" applyFill="1"/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27" fillId="0" borderId="2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 vertical="center" wrapText="1"/>
    </xf>
    <xf numFmtId="1" fontId="2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" fontId="31" fillId="0" borderId="5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>
      <alignment horizontal="center" vertical="center" wrapText="1"/>
    </xf>
    <xf numFmtId="2" fontId="26" fillId="0" borderId="29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166" fontId="0" fillId="0" borderId="10" xfId="1" applyNumberFormat="1" applyFont="1" applyFill="1" applyBorder="1"/>
    <xf numFmtId="0" fontId="30" fillId="0" borderId="4" xfId="0" applyFont="1" applyFill="1" applyBorder="1" applyAlignment="1">
      <alignment vertical="center" wrapText="1"/>
    </xf>
    <xf numFmtId="167" fontId="28" fillId="0" borderId="5" xfId="0" applyNumberFormat="1" applyFont="1" applyFill="1" applyBorder="1" applyAlignment="1">
      <alignment horizontal="center" vertical="center" wrapText="1"/>
    </xf>
    <xf numFmtId="9" fontId="28" fillId="0" borderId="14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65" fontId="34" fillId="0" borderId="24" xfId="0" applyNumberFormat="1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 wrapText="1"/>
    </xf>
    <xf numFmtId="2" fontId="34" fillId="0" borderId="25" xfId="0" applyNumberFormat="1" applyFont="1" applyFill="1" applyBorder="1" applyAlignment="1">
      <alignment horizontal="center" vertical="center" wrapText="1"/>
    </xf>
    <xf numFmtId="2" fontId="34" fillId="0" borderId="24" xfId="0" applyNumberFormat="1" applyFont="1" applyFill="1" applyBorder="1" applyAlignment="1">
      <alignment horizontal="center" vertical="center" wrapText="1"/>
    </xf>
    <xf numFmtId="2" fontId="34" fillId="0" borderId="31" xfId="0" applyNumberFormat="1" applyFont="1" applyFill="1" applyBorder="1" applyAlignment="1">
      <alignment horizontal="center" vertical="center" wrapText="1"/>
    </xf>
    <xf numFmtId="2" fontId="28" fillId="0" borderId="32" xfId="0" applyNumberFormat="1" applyFont="1" applyFill="1" applyBorder="1" applyAlignment="1">
      <alignment horizontal="center" vertical="center" wrapText="1"/>
    </xf>
    <xf numFmtId="2" fontId="33" fillId="0" borderId="2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/>
    </xf>
    <xf numFmtId="9" fontId="24" fillId="0" borderId="4" xfId="0" applyNumberFormat="1" applyFont="1" applyFill="1" applyBorder="1" applyAlignment="1">
      <alignment horizontal="center"/>
    </xf>
    <xf numFmtId="9" fontId="24" fillId="0" borderId="0" xfId="0" applyNumberFormat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166" fontId="0" fillId="0" borderId="0" xfId="0" applyNumberFormat="1" applyFill="1"/>
    <xf numFmtId="1" fontId="22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1" fontId="22" fillId="0" borderId="4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9" fontId="0" fillId="0" borderId="0" xfId="1" applyFont="1" applyFill="1"/>
    <xf numFmtId="2" fontId="0" fillId="0" borderId="0" xfId="0" applyNumberFormat="1" applyFill="1"/>
    <xf numFmtId="2" fontId="0" fillId="0" borderId="0" xfId="0" applyNumberFormat="1" applyFill="1" applyBorder="1"/>
    <xf numFmtId="0" fontId="20" fillId="0" borderId="0" xfId="0" applyFont="1" applyFill="1" applyAlignment="1">
      <alignment vertical="center"/>
    </xf>
  </cellXfs>
  <cellStyles count="2">
    <cellStyle name="Procent" xfId="1" builtinId="5"/>
    <cellStyle name="Standa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AANDEEL</a:t>
            </a:r>
            <a:r>
              <a:rPr lang="en-US" baseline="0"/>
              <a:t> BOD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'opgave en invulling 50% SDE '!$B$5</c:f>
              <c:strCache>
                <c:ptCount val="1"/>
                <c:pt idx="0">
                  <c:v>Twh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1F-44C3-A69B-A1065D68E1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1F-44C3-A69B-A1065D68E1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1F-44C3-A69B-A1065D68E1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1F-44C3-A69B-A1065D68E1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1F-44C3-A69B-A1065D68E1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1F-44C3-A69B-A1065D68E16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41F-44C3-A69B-A1065D68E16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41F-44C3-A69B-A1065D68E16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41F-44C3-A69B-A1065D68E16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41F-44C3-A69B-A1065D68E16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41F-44C3-A69B-A1065D68E16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41F-44C3-A69B-A1065D68E16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41F-44C3-A69B-A1065D68E16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41F-44C3-A69B-A1065D68E16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41F-44C3-A69B-A1065D68E16C}"/>
              </c:ext>
            </c:extLst>
          </c:dPt>
          <c:cat>
            <c:strRef>
              <c:f>'opgave en invulling 50% SDE '!$A$6:$A$20</c:f>
              <c:strCache>
                <c:ptCount val="15"/>
                <c:pt idx="0">
                  <c:v>Bernheze</c:v>
                </c:pt>
                <c:pt idx="1">
                  <c:v>Boekel</c:v>
                </c:pt>
                <c:pt idx="2">
                  <c:v>Boxmeer</c:v>
                </c:pt>
                <c:pt idx="3">
                  <c:v>Boxtel</c:v>
                </c:pt>
                <c:pt idx="4">
                  <c:v>Cuijk</c:v>
                </c:pt>
                <c:pt idx="5">
                  <c:v>Grave</c:v>
                </c:pt>
                <c:pt idx="6">
                  <c:v>Landerd</c:v>
                </c:pt>
                <c:pt idx="7">
                  <c:v>Meierijstad</c:v>
                </c:pt>
                <c:pt idx="8">
                  <c:v>Mill en Sint Hubert</c:v>
                </c:pt>
                <c:pt idx="9">
                  <c:v>Oss</c:v>
                </c:pt>
                <c:pt idx="10">
                  <c:v>s'-Hertogenbosch</c:v>
                </c:pt>
                <c:pt idx="11">
                  <c:v>Sint Anthonis</c:v>
                </c:pt>
                <c:pt idx="12">
                  <c:v>Sint-Michielsgestel</c:v>
                </c:pt>
                <c:pt idx="13">
                  <c:v>Uden</c:v>
                </c:pt>
                <c:pt idx="14">
                  <c:v>Vught</c:v>
                </c:pt>
              </c:strCache>
            </c:strRef>
          </c:cat>
          <c:val>
            <c:numRef>
              <c:f>'opgave en invulling 50% SDE '!$B$6:$B$20</c:f>
              <c:numCache>
                <c:formatCode>0.00</c:formatCode>
                <c:ptCount val="15"/>
                <c:pt idx="0">
                  <c:v>5.6933952705234284E-2</c:v>
                </c:pt>
                <c:pt idx="1">
                  <c:v>2.3946469378167207E-2</c:v>
                </c:pt>
                <c:pt idx="2">
                  <c:v>9.7985043067806643E-2</c:v>
                </c:pt>
                <c:pt idx="3">
                  <c:v>7.6994252195744642E-2</c:v>
                </c:pt>
                <c:pt idx="4">
                  <c:v>0.10030638448711876</c:v>
                </c:pt>
                <c:pt idx="5">
                  <c:v>1.6493741663533536E-2</c:v>
                </c:pt>
                <c:pt idx="6">
                  <c:v>2.748956943922256E-2</c:v>
                </c:pt>
                <c:pt idx="7">
                  <c:v>0.26231158038227043</c:v>
                </c:pt>
                <c:pt idx="8">
                  <c:v>2.2480359008075337E-2</c:v>
                </c:pt>
                <c:pt idx="9">
                  <c:v>0.26035676655548123</c:v>
                </c:pt>
                <c:pt idx="10">
                  <c:v>0.32865307462892751</c:v>
                </c:pt>
                <c:pt idx="11">
                  <c:v>2.8466976352617142E-2</c:v>
                </c:pt>
                <c:pt idx="12">
                  <c:v>3.5675352338902171E-2</c:v>
                </c:pt>
                <c:pt idx="13">
                  <c:v>0.11484531232386314</c:v>
                </c:pt>
                <c:pt idx="14">
                  <c:v>4.7061165473035627E-2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2-490C-8E75-333F06963F89}"/>
            </c:ext>
          </c:extLst>
        </c:ser>
        <c:ser>
          <c:idx val="1"/>
          <c:order val="1"/>
          <c:tx>
            <c:strRef>
              <c:f>'opgave en invulling 50% SDE '!$C$5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41F-44C3-A69B-A1065D68E1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41F-44C3-A69B-A1065D68E1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41F-44C3-A69B-A1065D68E1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F41F-44C3-A69B-A1065D68E1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41F-44C3-A69B-A1065D68E1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F41F-44C3-A69B-A1065D68E16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F41F-44C3-A69B-A1065D68E16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F41F-44C3-A69B-A1065D68E16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F41F-44C3-A69B-A1065D68E16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F41F-44C3-A69B-A1065D68E16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F41F-44C3-A69B-A1065D68E16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F41F-44C3-A69B-A1065D68E16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F41F-44C3-A69B-A1065D68E16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F41F-44C3-A69B-A1065D68E16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F41F-44C3-A69B-A1065D68E1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'opgave en invulling 50% SDE '!$A$6:$A$20</c:f>
              <c:strCache>
                <c:ptCount val="15"/>
                <c:pt idx="0">
                  <c:v>Bernheze</c:v>
                </c:pt>
                <c:pt idx="1">
                  <c:v>Boekel</c:v>
                </c:pt>
                <c:pt idx="2">
                  <c:v>Boxmeer</c:v>
                </c:pt>
                <c:pt idx="3">
                  <c:v>Boxtel</c:v>
                </c:pt>
                <c:pt idx="4">
                  <c:v>Cuijk</c:v>
                </c:pt>
                <c:pt idx="5">
                  <c:v>Grave</c:v>
                </c:pt>
                <c:pt idx="6">
                  <c:v>Landerd</c:v>
                </c:pt>
                <c:pt idx="7">
                  <c:v>Meierijstad</c:v>
                </c:pt>
                <c:pt idx="8">
                  <c:v>Mill en Sint Hubert</c:v>
                </c:pt>
                <c:pt idx="9">
                  <c:v>Oss</c:v>
                </c:pt>
                <c:pt idx="10">
                  <c:v>s'-Hertogenbosch</c:v>
                </c:pt>
                <c:pt idx="11">
                  <c:v>Sint Anthonis</c:v>
                </c:pt>
                <c:pt idx="12">
                  <c:v>Sint-Michielsgestel</c:v>
                </c:pt>
                <c:pt idx="13">
                  <c:v>Uden</c:v>
                </c:pt>
                <c:pt idx="14">
                  <c:v>Vught</c:v>
                </c:pt>
              </c:strCache>
            </c:strRef>
          </c:cat>
          <c:val>
            <c:numRef>
              <c:f>'opgave en invulling 50% SDE '!$C$6:$C$20</c:f>
              <c:numCache>
                <c:formatCode>0%</c:formatCode>
                <c:ptCount val="15"/>
                <c:pt idx="0">
                  <c:v>3.7954806088407005E-2</c:v>
                </c:pt>
                <c:pt idx="1">
                  <c:v>1.5963824020016681E-2</c:v>
                </c:pt>
                <c:pt idx="2">
                  <c:v>6.5321361551292742E-2</c:v>
                </c:pt>
                <c:pt idx="3">
                  <c:v>5.1266680567139289E-2</c:v>
                </c:pt>
                <c:pt idx="4">
                  <c:v>6.6868875104253545E-2</c:v>
                </c:pt>
                <c:pt idx="5">
                  <c:v>1.0995491034195162E-2</c:v>
                </c:pt>
                <c:pt idx="6">
                  <c:v>1.8325818390325269E-2</c:v>
                </c:pt>
                <c:pt idx="7">
                  <c:v>0.17486903148457048</c:v>
                </c:pt>
                <c:pt idx="8">
                  <c:v>1.4986447039199333E-2</c:v>
                </c:pt>
                <c:pt idx="9">
                  <c:v>0.173565862176814</c:v>
                </c:pt>
                <c:pt idx="10">
                  <c:v>0.21909533986655547</c:v>
                </c:pt>
                <c:pt idx="11">
                  <c:v>1.8977403044203502E-2</c:v>
                </c:pt>
                <c:pt idx="12">
                  <c:v>2.3782839866555463E-2</c:v>
                </c:pt>
                <c:pt idx="13">
                  <c:v>7.6561196830692235E-2</c:v>
                </c:pt>
                <c:pt idx="14">
                  <c:v>3.1465022935779817E-2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32-490C-8E75-333F06963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AANDEEL</a:t>
            </a:r>
            <a:r>
              <a:rPr lang="en-US" baseline="0"/>
              <a:t> BOD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'opgave en invulling 10 december'!$B$5</c:f>
              <c:strCache>
                <c:ptCount val="1"/>
                <c:pt idx="0">
                  <c:v>Twh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AB-4280-A479-4D52E9A307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AB-4280-A479-4D52E9A307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AB-4280-A479-4D52E9A307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AB-4280-A479-4D52E9A307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AB-4280-A479-4D52E9A307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9AB-4280-A479-4D52E9A307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9AB-4280-A479-4D52E9A307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9AB-4280-A479-4D52E9A307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9AB-4280-A479-4D52E9A3070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9AB-4280-A479-4D52E9A3070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9AB-4280-A479-4D52E9A3070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9AB-4280-A479-4D52E9A3070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9AB-4280-A479-4D52E9A3070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9AB-4280-A479-4D52E9A3070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9AB-4280-A479-4D52E9A30700}"/>
              </c:ext>
            </c:extLst>
          </c:dPt>
          <c:cat>
            <c:strRef>
              <c:f>'opgave en invulling 10 december'!$A$6:$A$20</c:f>
              <c:strCache>
                <c:ptCount val="15"/>
                <c:pt idx="0">
                  <c:v>Bernheze</c:v>
                </c:pt>
                <c:pt idx="1">
                  <c:v>Boekel</c:v>
                </c:pt>
                <c:pt idx="2">
                  <c:v>Boxmeer</c:v>
                </c:pt>
                <c:pt idx="3">
                  <c:v>Boxtel</c:v>
                </c:pt>
                <c:pt idx="4">
                  <c:v>Cuijk</c:v>
                </c:pt>
                <c:pt idx="5">
                  <c:v>Grave</c:v>
                </c:pt>
                <c:pt idx="6">
                  <c:v>Landerd</c:v>
                </c:pt>
                <c:pt idx="7">
                  <c:v>Meierijstad</c:v>
                </c:pt>
                <c:pt idx="8">
                  <c:v>Mill en Sint Hubert</c:v>
                </c:pt>
                <c:pt idx="9">
                  <c:v>Oss</c:v>
                </c:pt>
                <c:pt idx="10">
                  <c:v>s'-Hertogenbosch</c:v>
                </c:pt>
                <c:pt idx="11">
                  <c:v>Sint Anthonis</c:v>
                </c:pt>
                <c:pt idx="12">
                  <c:v>Sint-Michielsgestel</c:v>
                </c:pt>
                <c:pt idx="13">
                  <c:v>Uden</c:v>
                </c:pt>
                <c:pt idx="14">
                  <c:v>Vught</c:v>
                </c:pt>
              </c:strCache>
            </c:strRef>
          </c:cat>
          <c:val>
            <c:numRef>
              <c:f>'opgave en invulling 10 december'!$B$6:$B$20</c:f>
              <c:numCache>
                <c:formatCode>0.00</c:formatCode>
                <c:ptCount val="15"/>
                <c:pt idx="0">
                  <c:v>5.6933952705234284E-2</c:v>
                </c:pt>
                <c:pt idx="1">
                  <c:v>2.3946469378167207E-2</c:v>
                </c:pt>
                <c:pt idx="2">
                  <c:v>9.7985043067806643E-2</c:v>
                </c:pt>
                <c:pt idx="3">
                  <c:v>7.6994252195744642E-2</c:v>
                </c:pt>
                <c:pt idx="4">
                  <c:v>0.10030638448711876</c:v>
                </c:pt>
                <c:pt idx="5">
                  <c:v>1.6493741663533536E-2</c:v>
                </c:pt>
                <c:pt idx="6">
                  <c:v>2.748956943922256E-2</c:v>
                </c:pt>
                <c:pt idx="7">
                  <c:v>0.26231158038227043</c:v>
                </c:pt>
                <c:pt idx="8">
                  <c:v>2.2480359008075337E-2</c:v>
                </c:pt>
                <c:pt idx="9">
                  <c:v>0.26035676655548123</c:v>
                </c:pt>
                <c:pt idx="10">
                  <c:v>0.32865307462892751</c:v>
                </c:pt>
                <c:pt idx="11">
                  <c:v>2.8466976352617142E-2</c:v>
                </c:pt>
                <c:pt idx="12">
                  <c:v>3.5675352338902171E-2</c:v>
                </c:pt>
                <c:pt idx="13">
                  <c:v>0.11484531232386314</c:v>
                </c:pt>
                <c:pt idx="14">
                  <c:v>4.7061165473035627E-2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9AB-4280-A479-4D52E9A30700}"/>
            </c:ext>
          </c:extLst>
        </c:ser>
        <c:ser>
          <c:idx val="1"/>
          <c:order val="1"/>
          <c:tx>
            <c:strRef>
              <c:f>'opgave en invulling 10 december'!$C$5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9AB-4280-A479-4D52E9A307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9AB-4280-A479-4D52E9A307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9AB-4280-A479-4D52E9A307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9AB-4280-A479-4D52E9A307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9AB-4280-A479-4D52E9A307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9AB-4280-A479-4D52E9A307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9AB-4280-A479-4D52E9A307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9AB-4280-A479-4D52E9A307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9AB-4280-A479-4D52E9A3070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F9AB-4280-A479-4D52E9A3070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F9AB-4280-A479-4D52E9A3070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F9AB-4280-A479-4D52E9A3070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F9AB-4280-A479-4D52E9A3070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F9AB-4280-A479-4D52E9A3070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F9AB-4280-A479-4D52E9A307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'opgave en invulling 10 december'!$A$6:$A$20</c:f>
              <c:strCache>
                <c:ptCount val="15"/>
                <c:pt idx="0">
                  <c:v>Bernheze</c:v>
                </c:pt>
                <c:pt idx="1">
                  <c:v>Boekel</c:v>
                </c:pt>
                <c:pt idx="2">
                  <c:v>Boxmeer</c:v>
                </c:pt>
                <c:pt idx="3">
                  <c:v>Boxtel</c:v>
                </c:pt>
                <c:pt idx="4">
                  <c:v>Cuijk</c:v>
                </c:pt>
                <c:pt idx="5">
                  <c:v>Grave</c:v>
                </c:pt>
                <c:pt idx="6">
                  <c:v>Landerd</c:v>
                </c:pt>
                <c:pt idx="7">
                  <c:v>Meierijstad</c:v>
                </c:pt>
                <c:pt idx="8">
                  <c:v>Mill en Sint Hubert</c:v>
                </c:pt>
                <c:pt idx="9">
                  <c:v>Oss</c:v>
                </c:pt>
                <c:pt idx="10">
                  <c:v>s'-Hertogenbosch</c:v>
                </c:pt>
                <c:pt idx="11">
                  <c:v>Sint Anthonis</c:v>
                </c:pt>
                <c:pt idx="12">
                  <c:v>Sint-Michielsgestel</c:v>
                </c:pt>
                <c:pt idx="13">
                  <c:v>Uden</c:v>
                </c:pt>
                <c:pt idx="14">
                  <c:v>Vught</c:v>
                </c:pt>
              </c:strCache>
            </c:strRef>
          </c:cat>
          <c:val>
            <c:numRef>
              <c:f>'opgave en invulling 10 december'!$C$6:$C$20</c:f>
              <c:numCache>
                <c:formatCode>0%</c:formatCode>
                <c:ptCount val="15"/>
                <c:pt idx="0">
                  <c:v>3.7954806088407005E-2</c:v>
                </c:pt>
                <c:pt idx="1">
                  <c:v>1.5963824020016681E-2</c:v>
                </c:pt>
                <c:pt idx="2">
                  <c:v>6.5321361551292742E-2</c:v>
                </c:pt>
                <c:pt idx="3">
                  <c:v>5.1266680567139289E-2</c:v>
                </c:pt>
                <c:pt idx="4">
                  <c:v>6.6868875104253545E-2</c:v>
                </c:pt>
                <c:pt idx="5">
                  <c:v>1.0995491034195162E-2</c:v>
                </c:pt>
                <c:pt idx="6">
                  <c:v>1.8325818390325269E-2</c:v>
                </c:pt>
                <c:pt idx="7">
                  <c:v>0.17486903148457048</c:v>
                </c:pt>
                <c:pt idx="8">
                  <c:v>1.4986447039199333E-2</c:v>
                </c:pt>
                <c:pt idx="9">
                  <c:v>0.173565862176814</c:v>
                </c:pt>
                <c:pt idx="10">
                  <c:v>0.21909533986655547</c:v>
                </c:pt>
                <c:pt idx="11">
                  <c:v>1.8977403044203502E-2</c:v>
                </c:pt>
                <c:pt idx="12">
                  <c:v>2.3782839866555463E-2</c:v>
                </c:pt>
                <c:pt idx="13">
                  <c:v>7.6561196830692235E-2</c:v>
                </c:pt>
                <c:pt idx="14">
                  <c:v>3.1465022935779817E-2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F9AB-4280-A479-4D52E9A30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7626</xdr:colOff>
      <xdr:row>25</xdr:row>
      <xdr:rowOff>30480</xdr:rowOff>
    </xdr:from>
    <xdr:to>
      <xdr:col>10</xdr:col>
      <xdr:colOff>76200</xdr:colOff>
      <xdr:row>48</xdr:row>
      <xdr:rowOff>83814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092460D-6845-41A6-AD35-F5BA5A460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7626</xdr:colOff>
      <xdr:row>25</xdr:row>
      <xdr:rowOff>30480</xdr:rowOff>
    </xdr:from>
    <xdr:to>
      <xdr:col>10</xdr:col>
      <xdr:colOff>76200</xdr:colOff>
      <xdr:row>48</xdr:row>
      <xdr:rowOff>83814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0D81B20-2D07-491E-B5E2-6EB812BAE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9" sqref="L9"/>
    </sheetView>
  </sheetViews>
  <sheetFormatPr defaultRowHeight="15" x14ac:dyDescent="0.25"/>
  <cols>
    <col min="1" max="1" width="17.85546875" customWidth="1"/>
    <col min="2" max="3" width="14" customWidth="1"/>
    <col min="11" max="11" width="10.85546875" customWidth="1"/>
    <col min="13" max="13" width="14.28515625" bestFit="1" customWidth="1"/>
    <col min="14" max="14" width="16.140625" customWidth="1"/>
    <col min="23" max="23" width="15.7109375" hidden="1" customWidth="1"/>
    <col min="24" max="24" width="9.28515625" customWidth="1"/>
    <col min="28" max="28" width="9.7109375" customWidth="1"/>
    <col min="30" max="30" width="10.85546875" customWidth="1"/>
    <col min="33" max="33" width="10.85546875" customWidth="1"/>
    <col min="34" max="34" width="10.140625" customWidth="1"/>
    <col min="36" max="36" width="9.42578125" customWidth="1"/>
    <col min="46" max="46" width="10.140625" customWidth="1"/>
    <col min="49" max="49" width="13.140625" customWidth="1"/>
    <col min="56" max="56" width="0" hidden="1" customWidth="1"/>
    <col min="58" max="58" width="9.7109375" customWidth="1"/>
  </cols>
  <sheetData>
    <row r="1" spans="1:67" ht="15" customHeight="1" thickBot="1" x14ac:dyDescent="0.3">
      <c r="A1" s="1"/>
      <c r="B1" s="5"/>
      <c r="C1" s="5"/>
      <c r="D1" s="216" t="s">
        <v>0</v>
      </c>
      <c r="E1" s="217"/>
      <c r="F1" s="217"/>
      <c r="G1" s="217"/>
      <c r="H1" s="217"/>
      <c r="I1" s="217"/>
      <c r="J1" s="217"/>
      <c r="K1" s="218"/>
      <c r="M1" s="1"/>
      <c r="N1" s="5"/>
      <c r="O1" s="216" t="s">
        <v>25</v>
      </c>
      <c r="P1" s="217"/>
      <c r="Q1" s="217"/>
      <c r="R1" s="217"/>
      <c r="S1" s="217"/>
      <c r="T1" s="217"/>
      <c r="U1" s="217"/>
      <c r="W1" s="5"/>
      <c r="X1" s="216" t="s">
        <v>33</v>
      </c>
      <c r="Y1" s="217"/>
      <c r="Z1" s="217"/>
      <c r="AA1" s="217"/>
      <c r="AB1" s="217"/>
      <c r="AC1" s="217"/>
      <c r="AD1" s="217"/>
      <c r="AE1" s="217"/>
      <c r="AF1" s="217"/>
      <c r="AG1" s="218"/>
      <c r="AJ1" s="5"/>
      <c r="AK1" s="216" t="s">
        <v>34</v>
      </c>
      <c r="AL1" s="217"/>
      <c r="AM1" s="217"/>
      <c r="AN1" s="217"/>
      <c r="AO1" s="217"/>
      <c r="AP1" s="217"/>
      <c r="AQ1" s="217"/>
      <c r="AR1" s="218"/>
      <c r="AT1" s="5"/>
      <c r="AU1" s="216" t="s">
        <v>44</v>
      </c>
      <c r="AV1" s="217"/>
      <c r="AW1" s="217"/>
      <c r="AX1" s="217"/>
      <c r="AY1" s="217"/>
      <c r="AZ1" s="217"/>
      <c r="BA1" s="217"/>
      <c r="BB1" s="217"/>
      <c r="BC1" s="218"/>
      <c r="BF1" s="5"/>
      <c r="BG1" s="216" t="s">
        <v>43</v>
      </c>
      <c r="BH1" s="217"/>
      <c r="BI1" s="217"/>
      <c r="BJ1" s="217"/>
      <c r="BK1" s="217"/>
      <c r="BL1" s="217"/>
      <c r="BM1" s="217"/>
      <c r="BN1" s="217"/>
      <c r="BO1" s="218"/>
    </row>
    <row r="2" spans="1:67" ht="46.9" customHeight="1" thickBot="1" x14ac:dyDescent="0.3">
      <c r="A2" s="2"/>
      <c r="B2" s="7" t="s">
        <v>27</v>
      </c>
      <c r="C2" s="6" t="s">
        <v>29</v>
      </c>
      <c r="D2" s="214" t="s">
        <v>1</v>
      </c>
      <c r="E2" s="215"/>
      <c r="F2" s="214" t="s">
        <v>30</v>
      </c>
      <c r="G2" s="215"/>
      <c r="H2" s="214" t="s">
        <v>2</v>
      </c>
      <c r="I2" s="215"/>
      <c r="J2" s="17" t="s">
        <v>23</v>
      </c>
      <c r="K2" s="35" t="s">
        <v>26</v>
      </c>
      <c r="M2" s="2"/>
      <c r="N2" s="6" t="s">
        <v>24</v>
      </c>
      <c r="O2" s="214" t="s">
        <v>1</v>
      </c>
      <c r="P2" s="215"/>
      <c r="Q2" s="214" t="s">
        <v>31</v>
      </c>
      <c r="R2" s="215"/>
      <c r="S2" s="214" t="s">
        <v>2</v>
      </c>
      <c r="T2" s="215"/>
      <c r="U2" s="8" t="s">
        <v>23</v>
      </c>
      <c r="W2" s="6" t="s">
        <v>24</v>
      </c>
      <c r="X2" s="214" t="s">
        <v>1</v>
      </c>
      <c r="Y2" s="215"/>
      <c r="Z2" s="214" t="s">
        <v>31</v>
      </c>
      <c r="AA2" s="215"/>
      <c r="AB2" s="34" t="s">
        <v>32</v>
      </c>
      <c r="AC2" s="214" t="s">
        <v>64</v>
      </c>
      <c r="AD2" s="215"/>
      <c r="AE2" s="214" t="s">
        <v>65</v>
      </c>
      <c r="AF2" s="215"/>
      <c r="AG2" s="8" t="s">
        <v>23</v>
      </c>
      <c r="AH2" s="1" t="s">
        <v>26</v>
      </c>
      <c r="AJ2" s="6" t="s">
        <v>24</v>
      </c>
      <c r="AK2" s="214" t="s">
        <v>1</v>
      </c>
      <c r="AL2" s="215"/>
      <c r="AM2" s="214" t="s">
        <v>31</v>
      </c>
      <c r="AN2" s="215"/>
      <c r="AO2" s="34" t="s">
        <v>32</v>
      </c>
      <c r="AP2" s="5" t="s">
        <v>2</v>
      </c>
      <c r="AQ2" s="33"/>
      <c r="AR2" s="8" t="s">
        <v>23</v>
      </c>
      <c r="AT2" s="6" t="s">
        <v>24</v>
      </c>
      <c r="AU2" s="214" t="s">
        <v>1</v>
      </c>
      <c r="AV2" s="219"/>
      <c r="AW2" s="33" t="s">
        <v>41</v>
      </c>
      <c r="AX2" s="214" t="s">
        <v>31</v>
      </c>
      <c r="AY2" s="215"/>
      <c r="AZ2" s="34" t="s">
        <v>32</v>
      </c>
      <c r="BA2" s="5" t="s">
        <v>2</v>
      </c>
      <c r="BB2" s="33"/>
      <c r="BC2" s="43" t="s">
        <v>23</v>
      </c>
      <c r="BD2" s="40" t="s">
        <v>42</v>
      </c>
      <c r="BF2" s="6" t="s">
        <v>24</v>
      </c>
      <c r="BG2" s="214" t="s">
        <v>1</v>
      </c>
      <c r="BH2" s="219"/>
      <c r="BI2" s="33" t="s">
        <v>41</v>
      </c>
      <c r="BJ2" s="214" t="s">
        <v>31</v>
      </c>
      <c r="BK2" s="215"/>
      <c r="BL2" s="34" t="s">
        <v>32</v>
      </c>
      <c r="BM2" s="5" t="s">
        <v>2</v>
      </c>
      <c r="BN2" s="33"/>
      <c r="BO2" s="43" t="s">
        <v>23</v>
      </c>
    </row>
    <row r="3" spans="1:67" ht="15.75" thickBot="1" x14ac:dyDescent="0.3">
      <c r="A3" s="2" t="s">
        <v>3</v>
      </c>
      <c r="B3" s="1" t="s">
        <v>28</v>
      </c>
      <c r="C3" s="1" t="s">
        <v>5</v>
      </c>
      <c r="D3" s="3" t="s">
        <v>4</v>
      </c>
      <c r="E3" s="3" t="s">
        <v>5</v>
      </c>
      <c r="F3" s="3" t="s">
        <v>6</v>
      </c>
      <c r="G3" s="3" t="s">
        <v>5</v>
      </c>
      <c r="H3" s="3" t="s">
        <v>6</v>
      </c>
      <c r="I3" s="3" t="s">
        <v>5</v>
      </c>
      <c r="J3" s="18" t="s">
        <v>5</v>
      </c>
      <c r="K3" s="35" t="s">
        <v>5</v>
      </c>
      <c r="M3" s="2" t="s">
        <v>3</v>
      </c>
      <c r="N3" s="1" t="s">
        <v>5</v>
      </c>
      <c r="O3" s="3" t="s">
        <v>4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18"/>
      <c r="W3" s="1" t="s">
        <v>5</v>
      </c>
      <c r="X3" s="3" t="s">
        <v>4</v>
      </c>
      <c r="Y3" s="3" t="s">
        <v>5</v>
      </c>
      <c r="Z3" s="3" t="s">
        <v>6</v>
      </c>
      <c r="AA3" s="3" t="s">
        <v>5</v>
      </c>
      <c r="AB3" s="3" t="s">
        <v>5</v>
      </c>
      <c r="AC3" s="3" t="s">
        <v>6</v>
      </c>
      <c r="AD3" s="3" t="s">
        <v>5</v>
      </c>
      <c r="AE3" s="3" t="s">
        <v>6</v>
      </c>
      <c r="AF3" s="3" t="s">
        <v>5</v>
      </c>
      <c r="AG3" s="18"/>
      <c r="AH3" s="1" t="s">
        <v>5</v>
      </c>
      <c r="AJ3" s="1" t="s">
        <v>5</v>
      </c>
      <c r="AK3" s="3" t="s">
        <v>4</v>
      </c>
      <c r="AL3" s="3" t="s">
        <v>5</v>
      </c>
      <c r="AM3" s="3" t="s">
        <v>6</v>
      </c>
      <c r="AN3" s="3" t="s">
        <v>5</v>
      </c>
      <c r="AO3" s="3" t="s">
        <v>5</v>
      </c>
      <c r="AP3" s="3" t="s">
        <v>6</v>
      </c>
      <c r="AQ3" s="3" t="s">
        <v>5</v>
      </c>
      <c r="AR3" s="18"/>
      <c r="AT3" s="1" t="s">
        <v>5</v>
      </c>
      <c r="AU3" s="3" t="s">
        <v>4</v>
      </c>
      <c r="AV3" s="3" t="s">
        <v>5</v>
      </c>
      <c r="AW3" s="3" t="s">
        <v>5</v>
      </c>
      <c r="AX3" s="3" t="s">
        <v>6</v>
      </c>
      <c r="AY3" s="3" t="s">
        <v>5</v>
      </c>
      <c r="AZ3" s="3" t="s">
        <v>5</v>
      </c>
      <c r="BA3" s="3" t="s">
        <v>6</v>
      </c>
      <c r="BB3" s="3" t="s">
        <v>5</v>
      </c>
      <c r="BC3" s="44"/>
      <c r="BD3" s="41"/>
      <c r="BF3" s="1" t="s">
        <v>5</v>
      </c>
      <c r="BG3" s="3" t="s">
        <v>4</v>
      </c>
      <c r="BH3" s="3" t="s">
        <v>5</v>
      </c>
      <c r="BI3" s="3" t="s">
        <v>5</v>
      </c>
      <c r="BJ3" s="3" t="s">
        <v>6</v>
      </c>
      <c r="BK3" s="3" t="s">
        <v>5</v>
      </c>
      <c r="BL3" s="3" t="s">
        <v>5</v>
      </c>
      <c r="BM3" s="3" t="s">
        <v>6</v>
      </c>
      <c r="BN3" s="3" t="s">
        <v>5</v>
      </c>
      <c r="BO3" s="44"/>
    </row>
    <row r="4" spans="1:67" ht="15.75" thickBot="1" x14ac:dyDescent="0.3">
      <c r="A4" s="2" t="s">
        <v>7</v>
      </c>
      <c r="B4" s="4">
        <v>0.08</v>
      </c>
      <c r="C4" s="10">
        <v>3.1432600000000002E-3</v>
      </c>
      <c r="D4" s="4">
        <v>3</v>
      </c>
      <c r="E4" s="4">
        <v>3.6999999999999998E-2</v>
      </c>
      <c r="F4" s="4"/>
      <c r="G4" s="16">
        <v>9.264834999999999E-3</v>
      </c>
      <c r="H4" s="4"/>
      <c r="I4" s="4"/>
      <c r="J4" s="19">
        <f>SUM(G4+E4+C4)</f>
        <v>4.9408094999999999E-2</v>
      </c>
      <c r="K4" s="36">
        <v>4.9194306699999997E-3</v>
      </c>
      <c r="M4" s="2" t="s">
        <v>7</v>
      </c>
      <c r="N4" s="10">
        <v>3.1432600000000002E-3</v>
      </c>
      <c r="O4" s="4">
        <v>3</v>
      </c>
      <c r="P4" s="4">
        <v>3.6999999999999998E-2</v>
      </c>
      <c r="Q4" s="4"/>
      <c r="R4" s="16">
        <v>1.8529669999999998E-2</v>
      </c>
      <c r="S4" s="4"/>
      <c r="T4" s="4"/>
      <c r="U4" s="21">
        <f>SUM(P4+R4+T4)</f>
        <v>5.5529669999999996E-2</v>
      </c>
      <c r="W4" s="23">
        <v>3.1432600000000002E-3</v>
      </c>
      <c r="X4" s="28">
        <v>3</v>
      </c>
      <c r="Y4" s="28">
        <v>3.6999999999999998E-2</v>
      </c>
      <c r="Z4" s="4"/>
      <c r="AA4" s="16">
        <v>3.197502E-2</v>
      </c>
      <c r="AB4" s="16">
        <v>2.1695011200000003E-2</v>
      </c>
      <c r="AC4" s="30"/>
      <c r="AD4" s="31"/>
      <c r="AE4" s="31"/>
      <c r="AF4" s="31"/>
      <c r="AG4" s="21">
        <f>SUM(Y4+AA4+AB4+AD4+AF4)</f>
        <v>9.0670031200000001E-2</v>
      </c>
      <c r="AH4" s="16">
        <v>4.9194306699999997E-3</v>
      </c>
      <c r="AJ4" s="23">
        <v>3.1432600000000002E-3</v>
      </c>
      <c r="AK4" s="4">
        <v>3</v>
      </c>
      <c r="AL4" s="4">
        <v>3.6999999999999998E-2</v>
      </c>
      <c r="AM4" s="4"/>
      <c r="AN4" s="16">
        <v>1.8529669999999998E-2</v>
      </c>
      <c r="AO4" s="16">
        <v>2.1695011200000003E-2</v>
      </c>
      <c r="AP4" s="30">
        <v>20</v>
      </c>
      <c r="AQ4" s="31">
        <v>1.7222359999999999E-2</v>
      </c>
      <c r="AR4" s="21">
        <f>SUM(AL4+AN4+AO4+AQ4)</f>
        <v>9.4447041199999998E-2</v>
      </c>
      <c r="AT4" s="23">
        <v>3.1432600000000002E-3</v>
      </c>
      <c r="AU4" s="4"/>
      <c r="AV4" s="4"/>
      <c r="AW4" s="4"/>
      <c r="AX4" s="4"/>
      <c r="AY4" s="16">
        <v>1.8529669999999998E-2</v>
      </c>
      <c r="AZ4" s="16">
        <v>2.1695011200000003E-2</v>
      </c>
      <c r="BA4" s="30">
        <v>20</v>
      </c>
      <c r="BB4" s="31">
        <v>1.7222359999999999E-2</v>
      </c>
      <c r="BC4" s="45">
        <f>SUM(AV4+AW4+AY4+AZ4+BB4)</f>
        <v>5.74470412E-2</v>
      </c>
      <c r="BD4" s="42">
        <f>SUM(BC4/B4)</f>
        <v>0.71808801499999997</v>
      </c>
      <c r="BF4" s="23">
        <v>3.1432600000000002E-3</v>
      </c>
      <c r="BG4" s="4">
        <v>3</v>
      </c>
      <c r="BH4" s="4">
        <v>3.6999999999999998E-2</v>
      </c>
      <c r="BI4" s="28"/>
      <c r="BJ4" s="4"/>
      <c r="BK4" s="16">
        <v>1.8529669999999998E-2</v>
      </c>
      <c r="BL4" s="16">
        <v>2.1695011200000003E-2</v>
      </c>
      <c r="BM4" s="38">
        <v>20</v>
      </c>
      <c r="BN4" s="39">
        <v>1.7222359999999999E-2</v>
      </c>
      <c r="BO4" s="45">
        <f>SUM(BH4+BI4+BK4+BL4+BN4)</f>
        <v>9.4447041199999998E-2</v>
      </c>
    </row>
    <row r="5" spans="1:67" ht="15.75" thickBot="1" x14ac:dyDescent="0.3">
      <c r="A5" s="2" t="s">
        <v>8</v>
      </c>
      <c r="B5" s="4">
        <v>0.02</v>
      </c>
      <c r="C5" s="10">
        <v>3.58209E-3</v>
      </c>
      <c r="D5" s="4"/>
      <c r="E5" s="4"/>
      <c r="F5" s="4"/>
      <c r="G5" s="16">
        <v>1.006347E-2</v>
      </c>
      <c r="H5" s="4"/>
      <c r="I5" s="4"/>
      <c r="J5" s="19">
        <f t="shared" ref="J5:J19" si="0">SUM(G5+E5+C5)</f>
        <v>1.3645559999999999E-2</v>
      </c>
      <c r="K5" s="36">
        <v>2.3249934899999998E-3</v>
      </c>
      <c r="M5" s="2" t="s">
        <v>8</v>
      </c>
      <c r="N5" s="10">
        <v>3.58209E-3</v>
      </c>
      <c r="O5" s="4"/>
      <c r="P5" s="4"/>
      <c r="Q5" s="4"/>
      <c r="R5" s="16">
        <v>2.0126939999999999E-2</v>
      </c>
      <c r="S5" s="4"/>
      <c r="T5" s="4"/>
      <c r="U5" s="21">
        <f t="shared" ref="U5:U19" si="1">SUM(P5+R5+T5)</f>
        <v>2.0126939999999999E-2</v>
      </c>
      <c r="W5" s="24">
        <v>3.58209E-3</v>
      </c>
      <c r="X5" s="4"/>
      <c r="Y5" s="4"/>
      <c r="Z5" s="4"/>
      <c r="AA5" s="16">
        <v>2.1406209999999998E-2</v>
      </c>
      <c r="AB5" s="16">
        <v>1.4698676799999999E-2</v>
      </c>
      <c r="AC5" s="30"/>
      <c r="AD5" s="31"/>
      <c r="AE5" s="31"/>
      <c r="AF5" s="31"/>
      <c r="AG5" s="21">
        <f t="shared" ref="AG5:AG18" si="2">SUM(Y5+AA5+AB5+AD5+AF5)</f>
        <v>3.61048868E-2</v>
      </c>
      <c r="AH5" s="16">
        <v>2.3249934899999998E-3</v>
      </c>
      <c r="AJ5" s="24">
        <v>3.58209E-3</v>
      </c>
      <c r="AK5" s="4"/>
      <c r="AL5" s="4"/>
      <c r="AM5" s="4"/>
      <c r="AN5" s="16">
        <v>2.0126939999999999E-2</v>
      </c>
      <c r="AO5" s="16">
        <v>1.4698676799999999E-2</v>
      </c>
      <c r="AP5" s="30">
        <v>20</v>
      </c>
      <c r="AQ5" s="31">
        <v>1.7222359999999999E-2</v>
      </c>
      <c r="AR5" s="21">
        <f t="shared" ref="AR5:AR19" si="3">SUM(AL5+AN5+AO5+AQ5)</f>
        <v>5.20479768E-2</v>
      </c>
      <c r="AT5" s="24">
        <v>3.58209E-3</v>
      </c>
      <c r="AU5" s="4"/>
      <c r="AV5" s="4"/>
      <c r="AW5" s="4"/>
      <c r="AX5" s="4"/>
      <c r="AY5" s="16">
        <v>2.0126939999999999E-2</v>
      </c>
      <c r="AZ5" s="16">
        <v>1.4698676799999999E-2</v>
      </c>
      <c r="BA5" s="30">
        <v>20</v>
      </c>
      <c r="BB5" s="31">
        <v>1.7222359999999999E-2</v>
      </c>
      <c r="BC5" s="45">
        <f t="shared" ref="BC5:BC19" si="4">SUM(AV5+AW5+AY5+AZ5+BB5)</f>
        <v>5.20479768E-2</v>
      </c>
      <c r="BD5" s="42">
        <f t="shared" ref="BD5:BD19" si="5">SUM(BC5/B5)</f>
        <v>2.6023988399999998</v>
      </c>
      <c r="BF5" s="24">
        <v>3.58209E-3</v>
      </c>
      <c r="BG5" s="4"/>
      <c r="BH5" s="4"/>
      <c r="BI5" s="28"/>
      <c r="BJ5" s="4"/>
      <c r="BK5" s="16">
        <v>2.0126939999999999E-2</v>
      </c>
      <c r="BL5" s="16">
        <v>1.4698676799999999E-2</v>
      </c>
      <c r="BM5" s="38">
        <v>20</v>
      </c>
      <c r="BN5" s="39">
        <v>1.7222359999999999E-2</v>
      </c>
      <c r="BO5" s="45">
        <f t="shared" ref="BO5:BO19" si="6">SUM(BH5+BI5+BK5+BL5+BN5)</f>
        <v>5.20479768E-2</v>
      </c>
    </row>
    <row r="6" spans="1:67" ht="15.75" thickBot="1" x14ac:dyDescent="0.3">
      <c r="A6" s="2" t="s">
        <v>9</v>
      </c>
      <c r="B6" s="4">
        <v>0.11</v>
      </c>
      <c r="C6" s="10">
        <v>8.1952399999999995E-3</v>
      </c>
      <c r="D6" s="4"/>
      <c r="E6" s="4"/>
      <c r="F6" s="4"/>
      <c r="G6" s="16">
        <v>7.5789350000000002E-3</v>
      </c>
      <c r="H6" s="4"/>
      <c r="I6" s="4"/>
      <c r="J6" s="19">
        <f t="shared" si="0"/>
        <v>1.5774175000000001E-2</v>
      </c>
      <c r="K6" s="36">
        <v>5.2499852999999992E-3</v>
      </c>
      <c r="M6" s="2" t="s">
        <v>9</v>
      </c>
      <c r="N6" s="10">
        <v>8.1952399999999995E-3</v>
      </c>
      <c r="O6" s="4"/>
      <c r="P6" s="4"/>
      <c r="Q6" s="4"/>
      <c r="R6" s="16">
        <v>1.515787E-2</v>
      </c>
      <c r="S6" s="4">
        <v>30</v>
      </c>
      <c r="T6" s="16">
        <v>2.5833539999999999E-2</v>
      </c>
      <c r="U6" s="21">
        <f t="shared" si="1"/>
        <v>4.0991409999999999E-2</v>
      </c>
      <c r="W6" s="24">
        <v>8.1952399999999995E-3</v>
      </c>
      <c r="X6" s="4"/>
      <c r="Y6" s="4"/>
      <c r="Z6" s="4"/>
      <c r="AA6" s="16">
        <v>1.9736774999999998E-2</v>
      </c>
      <c r="AB6" s="16">
        <v>2.4003061200000002E-2</v>
      </c>
      <c r="AC6" s="4">
        <v>30</v>
      </c>
      <c r="AD6" s="16">
        <v>2.5833539999999999E-2</v>
      </c>
      <c r="AE6" s="16"/>
      <c r="AF6" s="16"/>
      <c r="AG6" s="21">
        <f t="shared" si="2"/>
        <v>6.9573376199999995E-2</v>
      </c>
      <c r="AH6" s="16">
        <v>5.2499852999999992E-3</v>
      </c>
      <c r="AJ6" s="24">
        <v>8.1952399999999995E-3</v>
      </c>
      <c r="AK6" s="4"/>
      <c r="AL6" s="4"/>
      <c r="AM6" s="4"/>
      <c r="AN6" s="16">
        <v>1.515787E-2</v>
      </c>
      <c r="AO6" s="16">
        <v>2.4003061200000002E-2</v>
      </c>
      <c r="AP6" s="4">
        <v>30</v>
      </c>
      <c r="AQ6" s="16">
        <v>2.5833539999999999E-2</v>
      </c>
      <c r="AR6" s="21">
        <f t="shared" si="3"/>
        <v>6.4994471200000001E-2</v>
      </c>
      <c r="AT6" s="24">
        <v>8.1952399999999995E-3</v>
      </c>
      <c r="AU6" s="4"/>
      <c r="AV6" s="4"/>
      <c r="AW6" s="16">
        <v>5.9719999999999995E-2</v>
      </c>
      <c r="AX6" s="4"/>
      <c r="AY6" s="16">
        <v>1.515787E-2</v>
      </c>
      <c r="AZ6" s="16">
        <v>2.4003061200000002E-2</v>
      </c>
      <c r="BA6" s="4">
        <v>30</v>
      </c>
      <c r="BB6" s="16">
        <v>2.5833539999999999E-2</v>
      </c>
      <c r="BC6" s="45">
        <f t="shared" si="4"/>
        <v>0.1247144712</v>
      </c>
      <c r="BD6" s="42">
        <f t="shared" si="5"/>
        <v>1.1337679199999999</v>
      </c>
      <c r="BF6" s="24">
        <v>8.1952399999999995E-3</v>
      </c>
      <c r="BG6" s="4"/>
      <c r="BH6" s="4"/>
      <c r="BI6" s="29">
        <v>5.9719999999999995E-2</v>
      </c>
      <c r="BJ6" s="4"/>
      <c r="BK6" s="16">
        <v>1.515787E-2</v>
      </c>
      <c r="BL6" s="16">
        <v>2.4003061200000002E-2</v>
      </c>
      <c r="BM6" s="28">
        <v>30</v>
      </c>
      <c r="BN6" s="29">
        <v>2.5833539999999999E-2</v>
      </c>
      <c r="BO6" s="45">
        <f t="shared" si="6"/>
        <v>0.1247144712</v>
      </c>
    </row>
    <row r="7" spans="1:67" ht="15.75" thickBot="1" x14ac:dyDescent="0.3">
      <c r="A7" s="2" t="s">
        <v>10</v>
      </c>
      <c r="B7" s="4">
        <v>0.08</v>
      </c>
      <c r="C7" s="10">
        <v>1.0012E-3</v>
      </c>
      <c r="D7" s="4"/>
      <c r="E7" s="4"/>
      <c r="F7" s="4"/>
      <c r="G7" s="16">
        <v>3.4375300000000003E-3</v>
      </c>
      <c r="H7" s="4"/>
      <c r="I7" s="4"/>
      <c r="J7" s="19">
        <f t="shared" si="0"/>
        <v>4.4387300000000001E-3</v>
      </c>
      <c r="K7" s="36">
        <v>5.1749855099999997E-3</v>
      </c>
      <c r="M7" s="2" t="s">
        <v>10</v>
      </c>
      <c r="N7" s="10">
        <v>1.0012E-3</v>
      </c>
      <c r="O7" s="4"/>
      <c r="P7" s="4"/>
      <c r="Q7" s="4"/>
      <c r="R7" s="16">
        <v>6.8750600000000005E-3</v>
      </c>
      <c r="S7" s="26">
        <v>20</v>
      </c>
      <c r="T7" s="27">
        <v>1.7222359999999999E-2</v>
      </c>
      <c r="U7" s="21">
        <f t="shared" si="1"/>
        <v>2.4097420000000001E-2</v>
      </c>
      <c r="W7" s="24">
        <v>1.0012E-3</v>
      </c>
      <c r="X7" s="4"/>
      <c r="Y7" s="4"/>
      <c r="Z7" s="4"/>
      <c r="AA7" s="16">
        <v>1.0933460000000001E-2</v>
      </c>
      <c r="AB7" s="16">
        <v>1.5924590400000001E-2</v>
      </c>
      <c r="AC7" s="76"/>
      <c r="AD7" s="89"/>
      <c r="AE7" s="4">
        <v>20</v>
      </c>
      <c r="AF7" s="16">
        <v>1.7222359999999999E-2</v>
      </c>
      <c r="AG7" s="21">
        <f t="shared" si="2"/>
        <v>4.4080410399999999E-2</v>
      </c>
      <c r="AH7" s="16">
        <v>5.1749855099999997E-3</v>
      </c>
      <c r="AJ7" s="24">
        <v>1.0012E-3</v>
      </c>
      <c r="AK7" s="4"/>
      <c r="AL7" s="4"/>
      <c r="AM7" s="4"/>
      <c r="AN7" s="16">
        <v>6.8750600000000005E-3</v>
      </c>
      <c r="AO7" s="16">
        <v>1.5924590400000001E-2</v>
      </c>
      <c r="AP7" s="4">
        <v>20</v>
      </c>
      <c r="AQ7" s="16">
        <v>1.7222359999999999E-2</v>
      </c>
      <c r="AR7" s="21">
        <f t="shared" si="3"/>
        <v>4.0022010400000002E-2</v>
      </c>
      <c r="AT7" s="24">
        <v>1.0012E-3</v>
      </c>
      <c r="AU7" s="4"/>
      <c r="AV7" s="4"/>
      <c r="AW7" s="4"/>
      <c r="AX7" s="4"/>
      <c r="AY7" s="16">
        <v>6.8750600000000005E-3</v>
      </c>
      <c r="AZ7" s="16">
        <v>1.5924590400000001E-2</v>
      </c>
      <c r="BA7" s="4">
        <v>20</v>
      </c>
      <c r="BB7" s="16">
        <v>1.7222359999999999E-2</v>
      </c>
      <c r="BC7" s="45">
        <f t="shared" si="4"/>
        <v>4.0022010400000002E-2</v>
      </c>
      <c r="BD7" s="42">
        <f t="shared" si="5"/>
        <v>0.50027513000000001</v>
      </c>
      <c r="BF7" s="24">
        <v>1.0012E-3</v>
      </c>
      <c r="BG7" s="4"/>
      <c r="BH7" s="4"/>
      <c r="BI7" s="28"/>
      <c r="BJ7" s="4"/>
      <c r="BK7" s="16">
        <v>6.8750600000000005E-3</v>
      </c>
      <c r="BL7" s="16">
        <v>1.5924590400000001E-2</v>
      </c>
      <c r="BM7" s="28">
        <v>20</v>
      </c>
      <c r="BN7" s="29">
        <v>1.7222359999999999E-2</v>
      </c>
      <c r="BO7" s="45">
        <f t="shared" si="6"/>
        <v>4.0022010400000002E-2</v>
      </c>
    </row>
    <row r="8" spans="1:67" ht="15.75" thickBot="1" x14ac:dyDescent="0.3">
      <c r="A8" s="2" t="s">
        <v>11</v>
      </c>
      <c r="B8" s="4">
        <v>0.09</v>
      </c>
      <c r="C8" s="10">
        <v>2.9880100000000001E-3</v>
      </c>
      <c r="D8" s="4"/>
      <c r="E8" s="4"/>
      <c r="F8" s="4"/>
      <c r="G8" s="16">
        <v>1.4306395000000001E-2</v>
      </c>
      <c r="H8" s="4"/>
      <c r="I8" s="4"/>
      <c r="J8" s="19">
        <f t="shared" si="0"/>
        <v>1.7294405000000002E-2</v>
      </c>
      <c r="K8" s="36">
        <v>3.3916571700000004E-3</v>
      </c>
      <c r="M8" s="2" t="s">
        <v>11</v>
      </c>
      <c r="N8" s="10">
        <v>2.9880100000000001E-3</v>
      </c>
      <c r="O8" s="4"/>
      <c r="P8" s="4"/>
      <c r="Q8" s="4"/>
      <c r="R8" s="16">
        <v>2.8612790000000003E-2</v>
      </c>
      <c r="S8" s="4">
        <v>40</v>
      </c>
      <c r="T8" s="16">
        <v>3.4444719999999998E-2</v>
      </c>
      <c r="U8" s="21">
        <f t="shared" si="1"/>
        <v>6.3057509999999997E-2</v>
      </c>
      <c r="W8" s="24">
        <v>2.9880100000000001E-3</v>
      </c>
      <c r="X8" s="4"/>
      <c r="Y8" s="4"/>
      <c r="Z8" s="4"/>
      <c r="AA8" s="16">
        <v>3.3991690000000005E-2</v>
      </c>
      <c r="AB8" s="16">
        <v>1.8116872400000001E-2</v>
      </c>
      <c r="AC8" s="4">
        <v>40</v>
      </c>
      <c r="AD8" s="16">
        <v>3.4444719999999998E-2</v>
      </c>
      <c r="AE8" s="16"/>
      <c r="AF8" s="16"/>
      <c r="AG8" s="21">
        <f t="shared" si="2"/>
        <v>8.6553282400000001E-2</v>
      </c>
      <c r="AH8" s="16">
        <v>3.3916571700000004E-3</v>
      </c>
      <c r="AJ8" s="24">
        <v>2.9880100000000001E-3</v>
      </c>
      <c r="AK8" s="4"/>
      <c r="AL8" s="4"/>
      <c r="AM8" s="4"/>
      <c r="AN8" s="16">
        <v>2.8612790000000003E-2</v>
      </c>
      <c r="AO8" s="16">
        <v>1.8116872400000001E-2</v>
      </c>
      <c r="AP8" s="4">
        <v>40</v>
      </c>
      <c r="AQ8" s="16">
        <v>3.4444719999999998E-2</v>
      </c>
      <c r="AR8" s="21">
        <f t="shared" si="3"/>
        <v>8.1174382399999995E-2</v>
      </c>
      <c r="AT8" s="24">
        <v>2.9880100000000001E-3</v>
      </c>
      <c r="AU8" s="4"/>
      <c r="AV8" s="4"/>
      <c r="AW8" s="4"/>
      <c r="AX8" s="4"/>
      <c r="AY8" s="16">
        <v>2.8612790000000003E-2</v>
      </c>
      <c r="AZ8" s="16">
        <v>1.8116872400000001E-2</v>
      </c>
      <c r="BA8" s="4">
        <v>40</v>
      </c>
      <c r="BB8" s="16">
        <v>3.4444719999999998E-2</v>
      </c>
      <c r="BC8" s="45">
        <f t="shared" si="4"/>
        <v>8.1174382399999995E-2</v>
      </c>
      <c r="BD8" s="42">
        <f t="shared" si="5"/>
        <v>0.9019375822222222</v>
      </c>
      <c r="BF8" s="24">
        <v>2.9880100000000001E-3</v>
      </c>
      <c r="BG8" s="4"/>
      <c r="BH8" s="4"/>
      <c r="BI8" s="28"/>
      <c r="BJ8" s="4"/>
      <c r="BK8" s="16">
        <v>2.8612790000000003E-2</v>
      </c>
      <c r="BL8" s="16">
        <v>1.8116872400000001E-2</v>
      </c>
      <c r="BM8" s="28">
        <v>40</v>
      </c>
      <c r="BN8" s="29">
        <v>3.4444719999999998E-2</v>
      </c>
      <c r="BO8" s="45">
        <f t="shared" si="6"/>
        <v>8.1174382399999995E-2</v>
      </c>
    </row>
    <row r="9" spans="1:67" ht="15.75" thickBot="1" x14ac:dyDescent="0.3">
      <c r="A9" s="2" t="s">
        <v>12</v>
      </c>
      <c r="B9" s="4">
        <v>0.02</v>
      </c>
      <c r="C9" s="10">
        <v>4.9252999999999992E-4</v>
      </c>
      <c r="D9" s="4"/>
      <c r="E9" s="4"/>
      <c r="F9" s="4"/>
      <c r="G9" s="16">
        <v>1.0957499999999999E-3</v>
      </c>
      <c r="H9" s="4"/>
      <c r="I9" s="4"/>
      <c r="J9" s="19">
        <f t="shared" si="0"/>
        <v>1.5882799999999999E-3</v>
      </c>
      <c r="K9" s="36">
        <v>1.4638847899999998E-3</v>
      </c>
      <c r="M9" s="2" t="s">
        <v>12</v>
      </c>
      <c r="N9" s="10">
        <v>4.9252999999999992E-4</v>
      </c>
      <c r="O9" s="4"/>
      <c r="P9" s="4"/>
      <c r="Q9" s="4"/>
      <c r="R9" s="16">
        <v>2.1914999999999999E-3</v>
      </c>
      <c r="S9" s="4">
        <v>20</v>
      </c>
      <c r="T9" s="16">
        <v>1.7222359999999999E-2</v>
      </c>
      <c r="U9" s="21">
        <f t="shared" si="1"/>
        <v>1.9413859999999998E-2</v>
      </c>
      <c r="W9" s="24">
        <v>4.9252999999999992E-4</v>
      </c>
      <c r="X9" s="4"/>
      <c r="Y9" s="4"/>
      <c r="Z9" s="4"/>
      <c r="AA9" s="16">
        <v>2.5334999999999997E-3</v>
      </c>
      <c r="AB9" s="16">
        <v>4.9286536000000001E-3</v>
      </c>
      <c r="AC9" s="4">
        <v>20</v>
      </c>
      <c r="AD9" s="16">
        <v>1.7222359999999999E-2</v>
      </c>
      <c r="AE9" s="16"/>
      <c r="AF9" s="16"/>
      <c r="AG9" s="21">
        <f t="shared" si="2"/>
        <v>2.4684513599999999E-2</v>
      </c>
      <c r="AH9" s="16">
        <v>1.4638847899999998E-3</v>
      </c>
      <c r="AJ9" s="24">
        <v>4.9252999999999992E-4</v>
      </c>
      <c r="AK9" s="4"/>
      <c r="AL9" s="4"/>
      <c r="AM9" s="4"/>
      <c r="AN9" s="16">
        <v>2.1914999999999999E-3</v>
      </c>
      <c r="AO9" s="16">
        <v>4.9286536000000001E-3</v>
      </c>
      <c r="AP9" s="4">
        <v>20</v>
      </c>
      <c r="AQ9" s="16">
        <v>1.7222359999999999E-2</v>
      </c>
      <c r="AR9" s="21">
        <f t="shared" si="3"/>
        <v>2.4342513599999997E-2</v>
      </c>
      <c r="AT9" s="24">
        <v>4.9252999999999992E-4</v>
      </c>
      <c r="AU9" s="4"/>
      <c r="AV9" s="4"/>
      <c r="AW9" s="4"/>
      <c r="AX9" s="4"/>
      <c r="AY9" s="16">
        <v>2.1914999999999999E-3</v>
      </c>
      <c r="AZ9" s="16">
        <v>4.9286536000000001E-3</v>
      </c>
      <c r="BA9" s="4">
        <v>20</v>
      </c>
      <c r="BB9" s="16">
        <v>1.7222359999999999E-2</v>
      </c>
      <c r="BC9" s="45">
        <f t="shared" si="4"/>
        <v>2.4342513599999997E-2</v>
      </c>
      <c r="BD9" s="42">
        <f t="shared" si="5"/>
        <v>1.2171256799999999</v>
      </c>
      <c r="BF9" s="24">
        <v>4.9252999999999992E-4</v>
      </c>
      <c r="BG9" s="4"/>
      <c r="BH9" s="4"/>
      <c r="BI9" s="28"/>
      <c r="BJ9" s="4"/>
      <c r="BK9" s="16">
        <v>2.1914999999999999E-3</v>
      </c>
      <c r="BL9" s="16">
        <v>4.9286536000000001E-3</v>
      </c>
      <c r="BM9" s="28">
        <v>20</v>
      </c>
      <c r="BN9" s="29">
        <v>1.7222359999999999E-2</v>
      </c>
      <c r="BO9" s="45">
        <f t="shared" si="6"/>
        <v>2.4342513599999997E-2</v>
      </c>
    </row>
    <row r="10" spans="1:67" ht="15.75" thickBot="1" x14ac:dyDescent="0.3">
      <c r="A10" s="2" t="s">
        <v>13</v>
      </c>
      <c r="B10" s="4">
        <v>0.03</v>
      </c>
      <c r="C10" s="10">
        <v>2.3489E-4</v>
      </c>
      <c r="D10" s="4"/>
      <c r="E10" s="4"/>
      <c r="F10" s="4"/>
      <c r="G10" s="16">
        <v>2.5922049999999998E-3</v>
      </c>
      <c r="H10" s="4"/>
      <c r="I10" s="4"/>
      <c r="J10" s="19">
        <f t="shared" si="0"/>
        <v>2.827095E-3</v>
      </c>
      <c r="K10" s="36">
        <v>2.4444376E-3</v>
      </c>
      <c r="M10" s="2" t="s">
        <v>13</v>
      </c>
      <c r="N10" s="10">
        <v>2.3489E-4</v>
      </c>
      <c r="O10" s="4"/>
      <c r="P10" s="4"/>
      <c r="Q10" s="4"/>
      <c r="R10" s="16">
        <v>5.1844099999999995E-3</v>
      </c>
      <c r="S10" s="4"/>
      <c r="T10" s="4"/>
      <c r="U10" s="21">
        <f t="shared" si="1"/>
        <v>5.1844099999999995E-3</v>
      </c>
      <c r="W10" s="24">
        <v>2.3489E-4</v>
      </c>
      <c r="X10" s="4"/>
      <c r="Y10" s="4"/>
      <c r="Z10" s="4"/>
      <c r="AA10" s="16">
        <v>6.9820189999999999E-3</v>
      </c>
      <c r="AB10" s="16">
        <v>7.331064E-3</v>
      </c>
      <c r="AC10" s="30"/>
      <c r="AD10" s="31"/>
      <c r="AE10" s="31"/>
      <c r="AF10" s="31"/>
      <c r="AG10" s="21">
        <f t="shared" si="2"/>
        <v>1.4313083000000001E-2</v>
      </c>
      <c r="AH10" s="16">
        <v>2.4444376E-3</v>
      </c>
      <c r="AJ10" s="24">
        <v>2.3489E-4</v>
      </c>
      <c r="AK10" s="4"/>
      <c r="AL10" s="4"/>
      <c r="AM10" s="4"/>
      <c r="AN10" s="16">
        <v>5.1844099999999995E-3</v>
      </c>
      <c r="AO10" s="16">
        <v>7.331064E-3</v>
      </c>
      <c r="AP10" s="30">
        <v>20</v>
      </c>
      <c r="AQ10" s="31">
        <v>1.7222359999999999E-2</v>
      </c>
      <c r="AR10" s="21">
        <f t="shared" si="3"/>
        <v>2.9737833999999998E-2</v>
      </c>
      <c r="AT10" s="24">
        <v>2.3489E-4</v>
      </c>
      <c r="AU10" s="4"/>
      <c r="AV10" s="4"/>
      <c r="AW10" s="4"/>
      <c r="AX10" s="4"/>
      <c r="AY10" s="16">
        <v>5.1844099999999995E-3</v>
      </c>
      <c r="AZ10" s="16">
        <v>7.331064E-3</v>
      </c>
      <c r="BA10" s="30">
        <v>20</v>
      </c>
      <c r="BB10" s="31">
        <v>1.7222359999999999E-2</v>
      </c>
      <c r="BC10" s="45">
        <f t="shared" si="4"/>
        <v>2.9737833999999998E-2</v>
      </c>
      <c r="BD10" s="42">
        <f t="shared" si="5"/>
        <v>0.99126113333333332</v>
      </c>
      <c r="BF10" s="24">
        <v>2.3489E-4</v>
      </c>
      <c r="BG10" s="4"/>
      <c r="BH10" s="4"/>
      <c r="BI10" s="28"/>
      <c r="BJ10" s="4"/>
      <c r="BK10" s="16">
        <v>5.1844099999999995E-3</v>
      </c>
      <c r="BL10" s="16">
        <v>7.331064E-3</v>
      </c>
      <c r="BM10" s="38">
        <v>20</v>
      </c>
      <c r="BN10" s="39">
        <v>1.7222359999999999E-2</v>
      </c>
      <c r="BO10" s="45">
        <f t="shared" si="6"/>
        <v>2.9737833999999998E-2</v>
      </c>
    </row>
    <row r="11" spans="1:67" ht="15.75" thickBot="1" x14ac:dyDescent="0.3">
      <c r="A11" s="2" t="s">
        <v>14</v>
      </c>
      <c r="B11" s="4">
        <v>0.04</v>
      </c>
      <c r="C11" s="10">
        <v>1.3595699999999998E-3</v>
      </c>
      <c r="D11" s="4"/>
      <c r="E11" s="4"/>
      <c r="F11" s="4"/>
      <c r="G11" s="16">
        <v>5.1378249999999995E-3</v>
      </c>
      <c r="H11" s="4"/>
      <c r="I11" s="4"/>
      <c r="J11" s="19">
        <f t="shared" si="0"/>
        <v>6.4973949999999996E-3</v>
      </c>
      <c r="K11" s="36">
        <v>2.8194365500000002E-3</v>
      </c>
      <c r="M11" s="2" t="s">
        <v>14</v>
      </c>
      <c r="N11" s="10">
        <v>1.3595699999999998E-3</v>
      </c>
      <c r="O11" s="4"/>
      <c r="P11" s="4"/>
      <c r="Q11" s="4"/>
      <c r="R11" s="16">
        <v>1.0275649999999999E-2</v>
      </c>
      <c r="S11" s="4"/>
      <c r="T11" s="4"/>
      <c r="U11" s="21">
        <f t="shared" si="1"/>
        <v>1.0275649999999999E-2</v>
      </c>
      <c r="W11" s="24">
        <v>1.3595699999999998E-3</v>
      </c>
      <c r="X11" s="4"/>
      <c r="Y11" s="4"/>
      <c r="Z11" s="4"/>
      <c r="AA11" s="16">
        <v>1.4791094999999999E-2</v>
      </c>
      <c r="AB11" s="16">
        <v>1.38918136E-2</v>
      </c>
      <c r="AC11" s="30"/>
      <c r="AD11" s="31"/>
      <c r="AE11" s="31"/>
      <c r="AF11" s="31"/>
      <c r="AG11" s="21">
        <f t="shared" si="2"/>
        <v>2.8682908600000001E-2</v>
      </c>
      <c r="AH11" s="16">
        <v>2.8194365500000002E-3</v>
      </c>
      <c r="AJ11" s="24">
        <v>1.3595699999999998E-3</v>
      </c>
      <c r="AK11" s="4"/>
      <c r="AL11" s="4"/>
      <c r="AM11" s="4"/>
      <c r="AN11" s="16">
        <v>1.0275649999999999E-2</v>
      </c>
      <c r="AO11" s="16">
        <v>1.38918136E-2</v>
      </c>
      <c r="AP11" s="30">
        <v>20</v>
      </c>
      <c r="AQ11" s="31">
        <v>1.7222359999999999E-2</v>
      </c>
      <c r="AR11" s="21">
        <f t="shared" si="3"/>
        <v>4.13898236E-2</v>
      </c>
      <c r="AT11" s="24">
        <v>1.3595699999999998E-3</v>
      </c>
      <c r="AU11" s="4"/>
      <c r="AV11" s="4"/>
      <c r="AW11" s="4"/>
      <c r="AX11" s="4"/>
      <c r="AY11" s="16">
        <v>1.0275649999999999E-2</v>
      </c>
      <c r="AZ11" s="16">
        <v>1.38918136E-2</v>
      </c>
      <c r="BA11" s="30">
        <v>20</v>
      </c>
      <c r="BB11" s="31">
        <v>1.7222359999999999E-2</v>
      </c>
      <c r="BC11" s="45">
        <f t="shared" si="4"/>
        <v>4.13898236E-2</v>
      </c>
      <c r="BD11" s="42">
        <f t="shared" si="5"/>
        <v>1.03474559</v>
      </c>
      <c r="BF11" s="24">
        <v>1.3595699999999998E-3</v>
      </c>
      <c r="BG11" s="4"/>
      <c r="BH11" s="4"/>
      <c r="BI11" s="28"/>
      <c r="BJ11" s="4"/>
      <c r="BK11" s="16">
        <v>1.0275649999999999E-2</v>
      </c>
      <c r="BL11" s="16">
        <v>1.38918136E-2</v>
      </c>
      <c r="BM11" s="38">
        <v>20</v>
      </c>
      <c r="BN11" s="39">
        <v>1.7222359999999999E-2</v>
      </c>
      <c r="BO11" s="45">
        <f t="shared" si="6"/>
        <v>4.13898236E-2</v>
      </c>
    </row>
    <row r="12" spans="1:67" ht="15.75" thickBot="1" x14ac:dyDescent="0.3">
      <c r="A12" s="2" t="s">
        <v>15</v>
      </c>
      <c r="B12" s="4">
        <v>0.25</v>
      </c>
      <c r="C12" s="10">
        <v>2.3319180000000002E-2</v>
      </c>
      <c r="D12" s="4">
        <v>4</v>
      </c>
      <c r="E12" s="4">
        <v>3.9E-2</v>
      </c>
      <c r="F12" s="4"/>
      <c r="G12" s="16">
        <v>2.9825194999999999E-2</v>
      </c>
      <c r="H12" s="4"/>
      <c r="I12" s="4"/>
      <c r="J12" s="19">
        <f t="shared" si="0"/>
        <v>9.2144375000000001E-2</v>
      </c>
      <c r="K12" s="36">
        <v>1.3902738849999999E-2</v>
      </c>
      <c r="M12" s="2" t="s">
        <v>15</v>
      </c>
      <c r="N12" s="10">
        <v>2.3319180000000002E-2</v>
      </c>
      <c r="O12" s="4">
        <v>4</v>
      </c>
      <c r="P12" s="4">
        <v>3.9E-2</v>
      </c>
      <c r="Q12" s="4"/>
      <c r="R12" s="16">
        <v>5.9650389999999998E-2</v>
      </c>
      <c r="S12" s="4">
        <v>40</v>
      </c>
      <c r="T12" s="16">
        <v>3.4444719999999998E-2</v>
      </c>
      <c r="U12" s="21">
        <f t="shared" si="1"/>
        <v>0.13309511000000002</v>
      </c>
      <c r="W12" s="24">
        <v>2.3319180000000002E-2</v>
      </c>
      <c r="X12" s="4">
        <v>4</v>
      </c>
      <c r="Y12" s="4">
        <v>3.9E-2</v>
      </c>
      <c r="Z12" s="4"/>
      <c r="AA12" s="16">
        <v>8.0197464999999996E-2</v>
      </c>
      <c r="AB12" s="16">
        <v>7.5481318800000002E-2</v>
      </c>
      <c r="AC12" s="4">
        <v>40</v>
      </c>
      <c r="AD12" s="16">
        <v>3.4444719999999998E-2</v>
      </c>
      <c r="AE12" s="16"/>
      <c r="AF12" s="16"/>
      <c r="AG12" s="21">
        <f t="shared" si="2"/>
        <v>0.22912350380000002</v>
      </c>
      <c r="AH12" s="16">
        <v>1.3902738849999999E-2</v>
      </c>
      <c r="AJ12" s="24">
        <v>2.3319180000000002E-2</v>
      </c>
      <c r="AK12" s="4">
        <v>4</v>
      </c>
      <c r="AL12" s="4">
        <v>3.9E-2</v>
      </c>
      <c r="AM12" s="4"/>
      <c r="AN12" s="16">
        <v>5.9650389999999998E-2</v>
      </c>
      <c r="AO12" s="16">
        <v>7.5481318800000002E-2</v>
      </c>
      <c r="AP12" s="4">
        <v>40</v>
      </c>
      <c r="AQ12" s="16">
        <v>3.4444719999999998E-2</v>
      </c>
      <c r="AR12" s="21">
        <f t="shared" si="3"/>
        <v>0.20857642879999999</v>
      </c>
      <c r="AT12" s="24">
        <v>2.3319180000000002E-2</v>
      </c>
      <c r="AU12" s="4">
        <v>4</v>
      </c>
      <c r="AV12" s="4">
        <v>3.9E-2</v>
      </c>
      <c r="AW12" s="16">
        <v>2.3888E-2</v>
      </c>
      <c r="AX12" s="4"/>
      <c r="AY12" s="16">
        <v>5.9650389999999998E-2</v>
      </c>
      <c r="AZ12" s="16">
        <v>7.5481318800000002E-2</v>
      </c>
      <c r="BA12" s="4">
        <v>40</v>
      </c>
      <c r="BB12" s="16">
        <v>3.4444719999999998E-2</v>
      </c>
      <c r="BC12" s="45">
        <f t="shared" si="4"/>
        <v>0.23246442880000001</v>
      </c>
      <c r="BD12" s="42">
        <f t="shared" si="5"/>
        <v>0.92985771520000005</v>
      </c>
      <c r="BF12" s="24">
        <v>2.3319180000000002E-2</v>
      </c>
      <c r="BG12" s="4">
        <v>4</v>
      </c>
      <c r="BH12" s="4">
        <v>3.9E-2</v>
      </c>
      <c r="BI12" s="29">
        <v>2.3888E-2</v>
      </c>
      <c r="BJ12" s="4"/>
      <c r="BK12" s="16">
        <v>5.9650389999999998E-2</v>
      </c>
      <c r="BL12" s="16">
        <v>7.5481318800000002E-2</v>
      </c>
      <c r="BM12" s="28">
        <v>40</v>
      </c>
      <c r="BN12" s="29">
        <v>3.4444719999999998E-2</v>
      </c>
      <c r="BO12" s="45">
        <f t="shared" si="6"/>
        <v>0.23246442880000001</v>
      </c>
    </row>
    <row r="13" spans="1:67" ht="21" customHeight="1" thickBot="1" x14ac:dyDescent="0.3">
      <c r="A13" s="2" t="s">
        <v>16</v>
      </c>
      <c r="B13" s="4">
        <v>0.02</v>
      </c>
      <c r="C13" s="10">
        <v>4.8582999999999997E-4</v>
      </c>
      <c r="D13" s="4"/>
      <c r="E13" s="4"/>
      <c r="F13" s="4"/>
      <c r="G13" s="16">
        <v>1.872725E-3</v>
      </c>
      <c r="H13" s="4"/>
      <c r="I13" s="4"/>
      <c r="J13" s="19">
        <f t="shared" si="0"/>
        <v>2.358555E-3</v>
      </c>
      <c r="K13" s="36">
        <v>2.2972157899999999E-3</v>
      </c>
      <c r="M13" s="2" t="s">
        <v>16</v>
      </c>
      <c r="N13" s="10">
        <v>4.8582999999999997E-4</v>
      </c>
      <c r="O13" s="4"/>
      <c r="P13" s="4"/>
      <c r="Q13" s="4"/>
      <c r="R13" s="16">
        <v>3.74545E-3</v>
      </c>
      <c r="S13" s="4">
        <v>20</v>
      </c>
      <c r="T13" s="16">
        <v>1.7222359999999999E-2</v>
      </c>
      <c r="U13" s="21">
        <f>SUM(P13+R13+T13)</f>
        <v>2.096781E-2</v>
      </c>
      <c r="W13" s="24">
        <v>4.8582999999999997E-4</v>
      </c>
      <c r="X13" s="4"/>
      <c r="Y13" s="4"/>
      <c r="Z13" s="4"/>
      <c r="AA13" s="16">
        <v>5.4032000000000004E-3</v>
      </c>
      <c r="AB13" s="16">
        <v>9.1995504000000009E-3</v>
      </c>
      <c r="AC13" s="30"/>
      <c r="AD13" s="31"/>
      <c r="AE13" s="31"/>
      <c r="AF13" s="31"/>
      <c r="AG13" s="21">
        <f t="shared" si="2"/>
        <v>1.4602750400000001E-2</v>
      </c>
      <c r="AH13" s="16">
        <v>2.2972157899999999E-3</v>
      </c>
      <c r="AJ13" s="24">
        <v>4.8582999999999997E-4</v>
      </c>
      <c r="AK13" s="4"/>
      <c r="AL13" s="4"/>
      <c r="AM13" s="4"/>
      <c r="AN13" s="16">
        <v>3.74545E-3</v>
      </c>
      <c r="AO13" s="16">
        <v>9.1995504000000009E-3</v>
      </c>
      <c r="AP13" s="30">
        <v>20</v>
      </c>
      <c r="AQ13" s="31">
        <v>1.7222359999999999E-2</v>
      </c>
      <c r="AR13" s="21">
        <f t="shared" si="3"/>
        <v>3.0167360399999999E-2</v>
      </c>
      <c r="AT13" s="24">
        <v>4.8582999999999997E-4</v>
      </c>
      <c r="AU13" s="4"/>
      <c r="AV13" s="4"/>
      <c r="AW13" s="4"/>
      <c r="AX13" s="4"/>
      <c r="AY13" s="16">
        <v>3.74545E-3</v>
      </c>
      <c r="AZ13" s="16">
        <v>9.1995504000000009E-3</v>
      </c>
      <c r="BA13" s="30">
        <v>20</v>
      </c>
      <c r="BB13" s="31">
        <v>1.7222359999999999E-2</v>
      </c>
      <c r="BC13" s="45">
        <f t="shared" si="4"/>
        <v>3.0167360399999999E-2</v>
      </c>
      <c r="BD13" s="42">
        <f t="shared" si="5"/>
        <v>1.50836802</v>
      </c>
      <c r="BF13" s="24">
        <v>4.8582999999999997E-4</v>
      </c>
      <c r="BG13" s="4"/>
      <c r="BH13" s="4"/>
      <c r="BI13" s="28"/>
      <c r="BJ13" s="4"/>
      <c r="BK13" s="16">
        <v>3.74545E-3</v>
      </c>
      <c r="BL13" s="16">
        <v>9.1995504000000009E-3</v>
      </c>
      <c r="BM13" s="38">
        <v>20</v>
      </c>
      <c r="BN13" s="39">
        <v>1.7222359999999999E-2</v>
      </c>
      <c r="BO13" s="45">
        <f t="shared" si="6"/>
        <v>3.0167360399999999E-2</v>
      </c>
    </row>
    <row r="14" spans="1:67" ht="15.75" thickBot="1" x14ac:dyDescent="0.3">
      <c r="A14" s="2" t="s">
        <v>17</v>
      </c>
      <c r="B14" s="4">
        <v>0.21</v>
      </c>
      <c r="C14" s="10">
        <v>1.0578379999999998E-2</v>
      </c>
      <c r="D14" s="4">
        <v>4</v>
      </c>
      <c r="E14" s="4">
        <v>4.8000000000000001E-2</v>
      </c>
      <c r="F14" s="4"/>
      <c r="G14" s="16">
        <v>1.9727560000000002E-2</v>
      </c>
      <c r="H14" s="4"/>
      <c r="I14" s="4"/>
      <c r="J14" s="19">
        <f t="shared" si="0"/>
        <v>7.8305940000000004E-2</v>
      </c>
      <c r="K14" s="36">
        <v>9.5833064999999995E-3</v>
      </c>
      <c r="M14" s="2" t="s">
        <v>17</v>
      </c>
      <c r="N14" s="10">
        <v>1.0578379999999998E-2</v>
      </c>
      <c r="O14" s="4">
        <v>4</v>
      </c>
      <c r="P14" s="4">
        <v>4.8000000000000001E-2</v>
      </c>
      <c r="Q14" s="4"/>
      <c r="R14" s="16">
        <v>3.9455120000000003E-2</v>
      </c>
      <c r="S14" s="4"/>
      <c r="T14" s="4"/>
      <c r="U14" s="21">
        <f t="shared" si="1"/>
        <v>8.7455119999999997E-2</v>
      </c>
      <c r="W14" s="24">
        <v>1.0578379999999998E-2</v>
      </c>
      <c r="X14" s="4">
        <v>4</v>
      </c>
      <c r="Y14" s="4">
        <v>4.8000000000000001E-2</v>
      </c>
      <c r="Z14" s="4"/>
      <c r="AA14" s="16">
        <v>4.7464456000000002E-2</v>
      </c>
      <c r="AB14" s="16">
        <v>5.4124123999999996E-2</v>
      </c>
      <c r="AC14" s="30"/>
      <c r="AD14" s="31"/>
      <c r="AE14" s="4">
        <v>150</v>
      </c>
      <c r="AF14" s="16">
        <v>0.1291677</v>
      </c>
      <c r="AG14" s="21">
        <f t="shared" si="2"/>
        <v>0.27875627999999997</v>
      </c>
      <c r="AH14" s="16">
        <v>9.5833064999999995E-3</v>
      </c>
      <c r="AJ14" s="24">
        <v>1.0578379999999998E-2</v>
      </c>
      <c r="AK14" s="4">
        <v>6</v>
      </c>
      <c r="AL14" s="4">
        <f>SUM(0.048*1.5)</f>
        <v>7.2000000000000008E-2</v>
      </c>
      <c r="AM14" s="4"/>
      <c r="AN14" s="16">
        <v>3.9455120000000003E-2</v>
      </c>
      <c r="AO14" s="16">
        <v>5.4124123999999996E-2</v>
      </c>
      <c r="AP14" s="30">
        <v>20</v>
      </c>
      <c r="AQ14" s="31">
        <v>1.7222359999999999E-2</v>
      </c>
      <c r="AR14" s="21">
        <f t="shared" si="3"/>
        <v>0.18280160400000001</v>
      </c>
      <c r="AT14" s="24">
        <v>1.0578379999999998E-2</v>
      </c>
      <c r="AU14" s="4">
        <v>6</v>
      </c>
      <c r="AV14" s="4">
        <f>SUM(0.048*1.5)</f>
        <v>7.2000000000000008E-2</v>
      </c>
      <c r="AW14" s="16">
        <v>0.42998399999999998</v>
      </c>
      <c r="AX14" s="4"/>
      <c r="AY14" s="16">
        <v>3.9455120000000003E-2</v>
      </c>
      <c r="AZ14" s="16">
        <v>5.4124123999999996E-2</v>
      </c>
      <c r="BA14" s="30">
        <v>20</v>
      </c>
      <c r="BB14" s="31">
        <v>1.7222359999999999E-2</v>
      </c>
      <c r="BC14" s="45">
        <f t="shared" si="4"/>
        <v>0.61278560399999993</v>
      </c>
      <c r="BD14" s="42">
        <f t="shared" si="5"/>
        <v>2.9180266857142856</v>
      </c>
      <c r="BF14" s="24">
        <v>1.0578379999999998E-2</v>
      </c>
      <c r="BG14" s="4">
        <v>6</v>
      </c>
      <c r="BH14" s="4">
        <f>SUM(0.048*1.5)</f>
        <v>7.2000000000000008E-2</v>
      </c>
      <c r="BI14" s="29">
        <v>0.42998399999999998</v>
      </c>
      <c r="BJ14" s="4"/>
      <c r="BK14" s="16">
        <v>3.9455120000000003E-2</v>
      </c>
      <c r="BL14" s="16">
        <v>5.4124123999999996E-2</v>
      </c>
      <c r="BM14" s="38">
        <v>20</v>
      </c>
      <c r="BN14" s="39">
        <v>1.7222359999999999E-2</v>
      </c>
      <c r="BO14" s="45">
        <f t="shared" si="6"/>
        <v>0.61278560399999993</v>
      </c>
    </row>
    <row r="15" spans="1:67" ht="23.25" thickBot="1" x14ac:dyDescent="0.3">
      <c r="A15" s="2" t="s">
        <v>18</v>
      </c>
      <c r="B15" s="4">
        <v>0.31</v>
      </c>
      <c r="C15" s="10">
        <v>1.017302E-2</v>
      </c>
      <c r="D15" s="4">
        <v>4</v>
      </c>
      <c r="E15" s="4">
        <v>4.8000000000000001E-2</v>
      </c>
      <c r="F15" s="4"/>
      <c r="G15" s="16">
        <v>3.7165050000000002E-3</v>
      </c>
      <c r="H15" s="4"/>
      <c r="I15" s="4"/>
      <c r="J15" s="19">
        <f t="shared" si="0"/>
        <v>6.1889525000000001E-2</v>
      </c>
      <c r="K15" s="36">
        <v>1.3138852099999999E-2</v>
      </c>
      <c r="M15" s="2" t="s">
        <v>18</v>
      </c>
      <c r="N15" s="10">
        <v>1.017302E-2</v>
      </c>
      <c r="O15" s="4">
        <v>4</v>
      </c>
      <c r="P15" s="4">
        <v>4.8000000000000001E-2</v>
      </c>
      <c r="Q15" s="4"/>
      <c r="R15" s="16">
        <v>7.4330100000000003E-3</v>
      </c>
      <c r="S15" s="4">
        <v>150</v>
      </c>
      <c r="T15" s="16">
        <v>0.1291677</v>
      </c>
      <c r="U15" s="21">
        <f t="shared" si="1"/>
        <v>0.18460071</v>
      </c>
      <c r="W15" s="24">
        <v>1.017302E-2</v>
      </c>
      <c r="X15" s="4">
        <v>4</v>
      </c>
      <c r="Y15" s="4">
        <v>4.8000000000000001E-2</v>
      </c>
      <c r="Z15" s="4"/>
      <c r="AA15" s="16">
        <v>1.9973352E-2</v>
      </c>
      <c r="AB15" s="16">
        <v>5.8982389599999997E-2</v>
      </c>
      <c r="AC15" s="4"/>
      <c r="AD15" s="16"/>
      <c r="AE15" s="4">
        <v>150</v>
      </c>
      <c r="AF15" s="16">
        <v>0.1291677</v>
      </c>
      <c r="AG15" s="21">
        <f t="shared" si="2"/>
        <v>0.2561234416</v>
      </c>
      <c r="AH15" s="16">
        <v>1.3138852099999999E-2</v>
      </c>
      <c r="AJ15" s="24">
        <v>1.017302E-2</v>
      </c>
      <c r="AK15" s="4">
        <v>4</v>
      </c>
      <c r="AL15" s="4">
        <v>4.8000000000000001E-2</v>
      </c>
      <c r="AM15" s="4"/>
      <c r="AN15" s="16">
        <v>7.4330100000000003E-3</v>
      </c>
      <c r="AO15" s="16">
        <v>5.8982389599999997E-2</v>
      </c>
      <c r="AP15" s="4">
        <v>150</v>
      </c>
      <c r="AQ15" s="16">
        <v>0.1291677</v>
      </c>
      <c r="AR15" s="21">
        <f t="shared" si="3"/>
        <v>0.24358309959999999</v>
      </c>
      <c r="AT15" s="24">
        <v>1.017302E-2</v>
      </c>
      <c r="AU15" s="4">
        <v>4</v>
      </c>
      <c r="AV15" s="4">
        <v>4.8000000000000001E-2</v>
      </c>
      <c r="AW15" s="16">
        <v>0.11943999999999999</v>
      </c>
      <c r="AX15" s="4"/>
      <c r="AY15" s="16">
        <v>7.4330100000000003E-3</v>
      </c>
      <c r="AZ15" s="16">
        <v>5.8982389599999997E-2</v>
      </c>
      <c r="BA15" s="4">
        <v>150</v>
      </c>
      <c r="BB15" s="16">
        <v>0.1291677</v>
      </c>
      <c r="BC15" s="45">
        <f t="shared" si="4"/>
        <v>0.36302309959999995</v>
      </c>
      <c r="BD15" s="42">
        <f t="shared" si="5"/>
        <v>1.1710422567741934</v>
      </c>
      <c r="BF15" s="24">
        <v>1.017302E-2</v>
      </c>
      <c r="BG15" s="4">
        <v>4</v>
      </c>
      <c r="BH15" s="4">
        <v>4.8000000000000001E-2</v>
      </c>
      <c r="BI15" s="29">
        <v>0.11943999999999999</v>
      </c>
      <c r="BJ15" s="4"/>
      <c r="BK15" s="16">
        <v>7.4330100000000003E-3</v>
      </c>
      <c r="BL15" s="16">
        <v>5.8982389599999997E-2</v>
      </c>
      <c r="BM15" s="28">
        <v>150</v>
      </c>
      <c r="BN15" s="29">
        <v>0.1291677</v>
      </c>
      <c r="BO15" s="45">
        <f t="shared" si="6"/>
        <v>0.36302309959999995</v>
      </c>
    </row>
    <row r="16" spans="1:67" ht="15.75" thickBot="1" x14ac:dyDescent="0.3">
      <c r="A16" s="2" t="s">
        <v>19</v>
      </c>
      <c r="B16" s="4">
        <v>0.03</v>
      </c>
      <c r="C16" s="10">
        <v>3.2957199999999998E-3</v>
      </c>
      <c r="D16" s="4"/>
      <c r="E16" s="4"/>
      <c r="F16" s="4"/>
      <c r="G16" s="16">
        <v>9.5847099999999998E-3</v>
      </c>
      <c r="H16" s="4">
        <v>43</v>
      </c>
      <c r="I16" s="16">
        <v>4.0472546000000005E-2</v>
      </c>
      <c r="J16" s="19">
        <f t="shared" si="0"/>
        <v>1.288043E-2</v>
      </c>
      <c r="K16" s="36">
        <v>3.2166576599999999E-3</v>
      </c>
      <c r="M16" s="2" t="s">
        <v>19</v>
      </c>
      <c r="N16" s="10">
        <v>3.2957199999999998E-3</v>
      </c>
      <c r="O16" s="4"/>
      <c r="P16" s="4"/>
      <c r="Q16" s="4"/>
      <c r="R16" s="16">
        <v>1.916942E-2</v>
      </c>
      <c r="S16" s="4">
        <v>75</v>
      </c>
      <c r="T16" s="16">
        <v>6.1449999999999998E-2</v>
      </c>
      <c r="U16" s="21">
        <f t="shared" si="1"/>
        <v>8.0619419999999997E-2</v>
      </c>
      <c r="W16" s="24">
        <v>3.2957199999999998E-3</v>
      </c>
      <c r="X16" s="4"/>
      <c r="Y16" s="4"/>
      <c r="Z16" s="4"/>
      <c r="AA16" s="16">
        <v>2.2809819999999998E-2</v>
      </c>
      <c r="AB16" s="16">
        <v>1.7667675599999998E-2</v>
      </c>
      <c r="AC16" s="28">
        <v>75</v>
      </c>
      <c r="AD16" s="29">
        <v>6.1449999999999998E-2</v>
      </c>
      <c r="AE16" s="16"/>
      <c r="AF16" s="16"/>
      <c r="AG16" s="21">
        <f t="shared" si="2"/>
        <v>0.1019274956</v>
      </c>
      <c r="AH16" s="16">
        <v>3.2166576599999999E-3</v>
      </c>
      <c r="AJ16" s="24">
        <v>3.2957199999999998E-3</v>
      </c>
      <c r="AK16" s="4"/>
      <c r="AL16" s="4"/>
      <c r="AM16" s="4"/>
      <c r="AN16" s="16">
        <v>1.916942E-2</v>
      </c>
      <c r="AO16" s="16">
        <v>1.7667675599999998E-2</v>
      </c>
      <c r="AP16" s="4">
        <v>75</v>
      </c>
      <c r="AQ16" s="16">
        <v>6.1449999999999998E-2</v>
      </c>
      <c r="AR16" s="21">
        <f t="shared" si="3"/>
        <v>9.8287095599999985E-2</v>
      </c>
      <c r="AT16" s="24">
        <v>3.2957199999999998E-3</v>
      </c>
      <c r="AU16" s="4"/>
      <c r="AV16" s="4"/>
      <c r="AW16" s="4"/>
      <c r="AX16" s="4"/>
      <c r="AY16" s="16">
        <v>1.916942E-2</v>
      </c>
      <c r="AZ16" s="16">
        <v>1.7667675599999998E-2</v>
      </c>
      <c r="BA16" s="4">
        <v>75</v>
      </c>
      <c r="BB16" s="16">
        <v>6.1449999999999998E-2</v>
      </c>
      <c r="BC16" s="45">
        <f t="shared" si="4"/>
        <v>9.8287095599999985E-2</v>
      </c>
      <c r="BD16" s="42">
        <f t="shared" si="5"/>
        <v>3.2762365199999994</v>
      </c>
      <c r="BF16" s="24">
        <v>3.2957199999999998E-3</v>
      </c>
      <c r="BG16" s="4"/>
      <c r="BH16" s="4"/>
      <c r="BI16" s="28"/>
      <c r="BJ16" s="4"/>
      <c r="BK16" s="16">
        <v>1.916942E-2</v>
      </c>
      <c r="BL16" s="16">
        <v>1.7667675599999998E-2</v>
      </c>
      <c r="BM16" s="28">
        <v>75</v>
      </c>
      <c r="BN16" s="29">
        <v>6.1449999999999998E-2</v>
      </c>
      <c r="BO16" s="45">
        <f t="shared" si="6"/>
        <v>9.8287095599999985E-2</v>
      </c>
    </row>
    <row r="17" spans="1:67" ht="24" customHeight="1" thickBot="1" x14ac:dyDescent="0.3">
      <c r="A17" s="2" t="s">
        <v>20</v>
      </c>
      <c r="B17" s="4">
        <v>0.04</v>
      </c>
      <c r="C17" s="10">
        <v>2.7058999999999997E-4</v>
      </c>
      <c r="D17" s="4"/>
      <c r="E17" s="4"/>
      <c r="F17" s="4"/>
      <c r="G17" s="16">
        <v>1.3318550000000001E-3</v>
      </c>
      <c r="H17" s="4"/>
      <c r="I17" s="4"/>
      <c r="J17" s="19">
        <f t="shared" si="0"/>
        <v>1.6024450000000001E-3</v>
      </c>
      <c r="K17" s="36">
        <v>4.84165311E-3</v>
      </c>
      <c r="M17" s="2" t="s">
        <v>20</v>
      </c>
      <c r="N17" s="10">
        <v>2.7058999999999997E-4</v>
      </c>
      <c r="O17" s="4"/>
      <c r="P17" s="4"/>
      <c r="Q17" s="4"/>
      <c r="R17" s="16">
        <v>2.6637100000000001E-3</v>
      </c>
      <c r="S17" s="4"/>
      <c r="T17" s="4"/>
      <c r="U17" s="21">
        <f t="shared" si="1"/>
        <v>2.6637100000000001E-3</v>
      </c>
      <c r="W17" s="24">
        <v>2.7058999999999997E-4</v>
      </c>
      <c r="X17" s="4"/>
      <c r="Y17" s="4"/>
      <c r="Z17" s="4"/>
      <c r="AA17" s="16">
        <v>3.1793699999999999E-3</v>
      </c>
      <c r="AB17" s="16">
        <v>8.7412915999999993E-3</v>
      </c>
      <c r="AC17" s="30"/>
      <c r="AD17" s="31"/>
      <c r="AE17" s="31"/>
      <c r="AF17" s="31"/>
      <c r="AG17" s="21">
        <f t="shared" si="2"/>
        <v>1.19206616E-2</v>
      </c>
      <c r="AH17" s="16">
        <v>4.84165311E-3</v>
      </c>
      <c r="AJ17" s="24">
        <v>2.7058999999999997E-4</v>
      </c>
      <c r="AK17" s="4"/>
      <c r="AL17" s="4"/>
      <c r="AM17" s="4"/>
      <c r="AN17" s="16">
        <v>2.6637100000000001E-3</v>
      </c>
      <c r="AO17" s="16">
        <v>8.7412915999999993E-3</v>
      </c>
      <c r="AP17" s="30">
        <v>20</v>
      </c>
      <c r="AQ17" s="31">
        <v>1.7222359999999999E-2</v>
      </c>
      <c r="AR17" s="21">
        <f t="shared" si="3"/>
        <v>2.8627361599999998E-2</v>
      </c>
      <c r="AT17" s="24">
        <v>2.7058999999999997E-4</v>
      </c>
      <c r="AU17" s="4"/>
      <c r="AV17" s="4"/>
      <c r="AW17" s="4"/>
      <c r="AX17" s="4"/>
      <c r="AY17" s="16">
        <v>2.6637100000000001E-3</v>
      </c>
      <c r="AZ17" s="16">
        <v>8.7412915999999993E-3</v>
      </c>
      <c r="BA17" s="30">
        <v>20</v>
      </c>
      <c r="BB17" s="31">
        <v>1.7222359999999999E-2</v>
      </c>
      <c r="BC17" s="45">
        <f t="shared" si="4"/>
        <v>2.8627361599999998E-2</v>
      </c>
      <c r="BD17" s="42">
        <f t="shared" si="5"/>
        <v>0.71568403999999997</v>
      </c>
      <c r="BF17" s="24">
        <v>2.7058999999999997E-4</v>
      </c>
      <c r="BG17" s="4"/>
      <c r="BH17" s="4"/>
      <c r="BI17" s="28"/>
      <c r="BJ17" s="4"/>
      <c r="BK17" s="16">
        <v>2.6637100000000001E-3</v>
      </c>
      <c r="BL17" s="16">
        <v>8.7412915999999993E-3</v>
      </c>
      <c r="BM17" s="38">
        <v>20</v>
      </c>
      <c r="BN17" s="39">
        <v>1.7222359999999999E-2</v>
      </c>
      <c r="BO17" s="45">
        <f t="shared" si="6"/>
        <v>2.8627361599999998E-2</v>
      </c>
    </row>
    <row r="18" spans="1:67" ht="15.75" thickBot="1" x14ac:dyDescent="0.3">
      <c r="A18" s="2" t="s">
        <v>21</v>
      </c>
      <c r="B18" s="4">
        <v>0.1</v>
      </c>
      <c r="C18" s="10">
        <v>1.6786349999999998E-2</v>
      </c>
      <c r="D18" s="4"/>
      <c r="E18" s="4"/>
      <c r="F18" s="4"/>
      <c r="G18" s="16">
        <v>7.0606800000000006E-3</v>
      </c>
      <c r="H18" s="4"/>
      <c r="I18" s="4"/>
      <c r="J18" s="19">
        <f t="shared" si="0"/>
        <v>2.3847029999999998E-2</v>
      </c>
      <c r="K18" s="36">
        <v>6.5166484199999999E-3</v>
      </c>
      <c r="M18" s="2" t="s">
        <v>21</v>
      </c>
      <c r="N18" s="10">
        <v>1.6786349999999998E-2</v>
      </c>
      <c r="O18" s="4"/>
      <c r="P18" s="4"/>
      <c r="Q18" s="4"/>
      <c r="R18" s="16">
        <v>1.4121360000000001E-2</v>
      </c>
      <c r="S18" s="4"/>
      <c r="T18" s="4"/>
      <c r="U18" s="21">
        <f t="shared" si="1"/>
        <v>1.4121360000000001E-2</v>
      </c>
      <c r="W18" s="24">
        <v>1.6786349999999998E-2</v>
      </c>
      <c r="X18" s="4"/>
      <c r="Y18" s="4"/>
      <c r="Z18" s="4"/>
      <c r="AA18" s="16">
        <v>2.5319960000000002E-2</v>
      </c>
      <c r="AB18" s="16">
        <v>2.9226792400000003E-2</v>
      </c>
      <c r="AC18" s="30"/>
      <c r="AD18" s="31"/>
      <c r="AE18" s="31"/>
      <c r="AF18" s="31"/>
      <c r="AG18" s="21">
        <f t="shared" si="2"/>
        <v>5.4546752400000009E-2</v>
      </c>
      <c r="AH18" s="16">
        <v>6.5166484199999999E-3</v>
      </c>
      <c r="AJ18" s="24">
        <v>1.6786349999999998E-2</v>
      </c>
      <c r="AK18" s="4"/>
      <c r="AL18" s="4"/>
      <c r="AM18" s="4"/>
      <c r="AN18" s="16">
        <v>1.4121360000000001E-2</v>
      </c>
      <c r="AO18" s="16">
        <v>2.9226792400000003E-2</v>
      </c>
      <c r="AP18" s="30">
        <v>20</v>
      </c>
      <c r="AQ18" s="31">
        <v>1.7222359999999999E-2</v>
      </c>
      <c r="AR18" s="21">
        <f t="shared" si="3"/>
        <v>6.0570512400000005E-2</v>
      </c>
      <c r="AT18" s="24">
        <v>1.6786349999999998E-2</v>
      </c>
      <c r="AU18" s="4"/>
      <c r="AV18" s="4"/>
      <c r="AW18" s="4"/>
      <c r="AX18" s="4"/>
      <c r="AY18" s="16">
        <v>1.4121360000000001E-2</v>
      </c>
      <c r="AZ18" s="16">
        <v>2.9226792400000003E-2</v>
      </c>
      <c r="BA18" s="30">
        <v>20</v>
      </c>
      <c r="BB18" s="31">
        <v>1.7222359999999999E-2</v>
      </c>
      <c r="BC18" s="45">
        <f t="shared" si="4"/>
        <v>6.0570512400000005E-2</v>
      </c>
      <c r="BD18" s="42">
        <f t="shared" si="5"/>
        <v>0.60570512399999998</v>
      </c>
      <c r="BF18" s="24">
        <v>1.6786349999999998E-2</v>
      </c>
      <c r="BG18" s="4"/>
      <c r="BH18" s="4"/>
      <c r="BI18" s="28"/>
      <c r="BJ18" s="4"/>
      <c r="BK18" s="16">
        <v>1.4121360000000001E-2</v>
      </c>
      <c r="BL18" s="16">
        <v>2.9226792400000003E-2</v>
      </c>
      <c r="BM18" s="38">
        <v>20</v>
      </c>
      <c r="BN18" s="39">
        <v>1.7222359999999999E-2</v>
      </c>
      <c r="BO18" s="45">
        <f t="shared" si="6"/>
        <v>6.0570512400000005E-2</v>
      </c>
    </row>
    <row r="19" spans="1:67" ht="15.75" thickBot="1" x14ac:dyDescent="0.3">
      <c r="A19" s="2" t="s">
        <v>22</v>
      </c>
      <c r="B19" s="4">
        <v>0.06</v>
      </c>
      <c r="C19" s="10">
        <v>3.4250999999999997E-4</v>
      </c>
      <c r="D19" s="4"/>
      <c r="E19" s="4"/>
      <c r="F19" s="4"/>
      <c r="G19" s="16">
        <v>1.617945E-3</v>
      </c>
      <c r="H19" s="4"/>
      <c r="I19" s="4"/>
      <c r="J19" s="19">
        <f t="shared" si="0"/>
        <v>1.9604549999999998E-3</v>
      </c>
      <c r="K19" s="36">
        <v>2.0749941899999998E-3</v>
      </c>
      <c r="M19" s="2" t="s">
        <v>22</v>
      </c>
      <c r="N19" s="10">
        <v>3.4250999999999997E-4</v>
      </c>
      <c r="O19" s="4"/>
      <c r="P19" s="4"/>
      <c r="Q19" s="4"/>
      <c r="R19" s="16">
        <v>3.2358899999999999E-3</v>
      </c>
      <c r="S19" s="4"/>
      <c r="T19" s="4"/>
      <c r="U19" s="21">
        <f t="shared" si="1"/>
        <v>3.2358899999999999E-3</v>
      </c>
      <c r="W19" s="24">
        <v>3.4250999999999997E-4</v>
      </c>
      <c r="X19" s="4"/>
      <c r="Y19" s="4"/>
      <c r="Z19" s="4"/>
      <c r="AA19" s="16">
        <v>4.6046500000000001E-3</v>
      </c>
      <c r="AB19" s="16">
        <v>6.3508447999999999E-3</v>
      </c>
      <c r="AC19" s="30"/>
      <c r="AD19" s="31"/>
      <c r="AE19" s="85">
        <v>20</v>
      </c>
      <c r="AF19" s="31"/>
      <c r="AG19" s="21">
        <f>SUM(Y19+AA19+AB19+AD19+AF19)</f>
        <v>1.09554948E-2</v>
      </c>
      <c r="AH19" s="16">
        <v>2.0749941899999998E-3</v>
      </c>
      <c r="AJ19" s="24">
        <v>3.4250999999999997E-4</v>
      </c>
      <c r="AK19" s="4"/>
      <c r="AL19" s="4"/>
      <c r="AM19" s="4"/>
      <c r="AN19" s="16">
        <v>3.2358899999999999E-3</v>
      </c>
      <c r="AO19" s="16">
        <v>6.3508447999999999E-3</v>
      </c>
      <c r="AP19" s="30">
        <v>20</v>
      </c>
      <c r="AQ19" s="31">
        <v>1.7222359999999999E-2</v>
      </c>
      <c r="AR19" s="21">
        <f t="shared" si="3"/>
        <v>2.6809094799999999E-2</v>
      </c>
      <c r="AT19" s="24">
        <v>3.4250999999999997E-4</v>
      </c>
      <c r="AU19" s="4"/>
      <c r="AV19" s="4"/>
      <c r="AW19" s="4"/>
      <c r="AX19" s="4"/>
      <c r="AY19" s="16">
        <v>3.2358899999999999E-3</v>
      </c>
      <c r="AZ19" s="16">
        <v>6.3508447999999999E-3</v>
      </c>
      <c r="BA19" s="30">
        <v>20</v>
      </c>
      <c r="BB19" s="31">
        <v>1.7222359999999999E-2</v>
      </c>
      <c r="BC19" s="45">
        <f t="shared" si="4"/>
        <v>2.6809094799999999E-2</v>
      </c>
      <c r="BD19" s="42">
        <f t="shared" si="5"/>
        <v>0.44681824666666664</v>
      </c>
      <c r="BF19" s="24">
        <v>3.4250999999999997E-4</v>
      </c>
      <c r="BG19" s="4"/>
      <c r="BH19" s="4"/>
      <c r="BI19" s="28"/>
      <c r="BJ19" s="4"/>
      <c r="BK19" s="16">
        <v>3.2358899999999999E-3</v>
      </c>
      <c r="BL19" s="16">
        <v>6.3508447999999999E-3</v>
      </c>
      <c r="BM19" s="38">
        <v>20</v>
      </c>
      <c r="BN19" s="39">
        <v>1.7222359999999999E-2</v>
      </c>
      <c r="BO19" s="45">
        <f t="shared" si="6"/>
        <v>2.6809094799999999E-2</v>
      </c>
    </row>
    <row r="20" spans="1:67" ht="15.75" thickBot="1" x14ac:dyDescent="0.3">
      <c r="A20" s="12" t="s">
        <v>23</v>
      </c>
      <c r="B20" s="84">
        <f>SUM(B4:B19)</f>
        <v>1.4900000000000002</v>
      </c>
      <c r="C20" s="13">
        <v>8.6248370000000005E-2</v>
      </c>
      <c r="D20" s="14">
        <f>SUM(D4:D19)</f>
        <v>15</v>
      </c>
      <c r="E20" s="11">
        <f>SUM(E4:E19)</f>
        <v>0.17199999999999999</v>
      </c>
      <c r="F20" s="14">
        <f>SUM(F4:F19)</f>
        <v>0</v>
      </c>
      <c r="G20" s="32">
        <v>0.12821412000000001</v>
      </c>
      <c r="H20" s="14">
        <f>SUM(H4:H19)</f>
        <v>43</v>
      </c>
      <c r="I20" s="11">
        <f>SUM(I4:I19)</f>
        <v>4.0472546000000005E-2</v>
      </c>
      <c r="J20" s="20">
        <f>SUM(J4:J19)</f>
        <v>0.38646248999999999</v>
      </c>
      <c r="K20" s="37">
        <f>SUM(K4:K19)</f>
        <v>8.3360877699999988E-2</v>
      </c>
      <c r="M20" s="2" t="s">
        <v>23</v>
      </c>
      <c r="N20" s="9">
        <v>8.6248370000000005E-2</v>
      </c>
      <c r="O20" s="4">
        <f t="shared" ref="O20:U20" si="7">SUM(O4:O19)</f>
        <v>15</v>
      </c>
      <c r="P20" s="4">
        <f t="shared" si="7"/>
        <v>0.17199999999999999</v>
      </c>
      <c r="Q20" s="4">
        <f t="shared" si="7"/>
        <v>0</v>
      </c>
      <c r="R20" s="16">
        <f t="shared" si="7"/>
        <v>0.25642824000000003</v>
      </c>
      <c r="S20" s="4">
        <f t="shared" si="7"/>
        <v>395</v>
      </c>
      <c r="T20" s="16">
        <f t="shared" si="7"/>
        <v>0.33700775999999999</v>
      </c>
      <c r="U20" s="22">
        <f t="shared" si="7"/>
        <v>0.76543600000000001</v>
      </c>
      <c r="W20" s="25">
        <v>8.6248370000000005E-2</v>
      </c>
      <c r="X20" s="4">
        <f t="shared" ref="X20:AH20" si="8">SUM(X4:X19)</f>
        <v>15</v>
      </c>
      <c r="Y20" s="4">
        <f t="shared" si="8"/>
        <v>0.17199999999999999</v>
      </c>
      <c r="Z20" s="4">
        <f t="shared" si="8"/>
        <v>0</v>
      </c>
      <c r="AA20" s="16">
        <f t="shared" si="8"/>
        <v>0.35130204200000004</v>
      </c>
      <c r="AB20" s="16">
        <f t="shared" si="8"/>
        <v>0.38036373039999993</v>
      </c>
      <c r="AC20" s="4">
        <f t="shared" si="8"/>
        <v>205</v>
      </c>
      <c r="AD20" s="16">
        <f t="shared" si="8"/>
        <v>0.17339533999999998</v>
      </c>
      <c r="AE20" s="87">
        <f t="shared" si="8"/>
        <v>340</v>
      </c>
      <c r="AF20" s="86">
        <f t="shared" si="8"/>
        <v>0.27555775999999998</v>
      </c>
      <c r="AG20" s="88">
        <f t="shared" si="8"/>
        <v>1.3526188724000001</v>
      </c>
      <c r="AH20" s="15">
        <f t="shared" si="8"/>
        <v>8.3360877699999988E-2</v>
      </c>
      <c r="AJ20" s="25">
        <v>8.6248370000000005E-2</v>
      </c>
      <c r="AK20" s="4">
        <f t="shared" ref="AK20:AR20" si="9">SUM(AK4:AK19)</f>
        <v>17</v>
      </c>
      <c r="AL20" s="4">
        <f t="shared" si="9"/>
        <v>0.19600000000000001</v>
      </c>
      <c r="AM20" s="4">
        <f t="shared" si="9"/>
        <v>0</v>
      </c>
      <c r="AN20" s="16">
        <f t="shared" si="9"/>
        <v>0.25642824000000003</v>
      </c>
      <c r="AO20" s="16">
        <f t="shared" si="9"/>
        <v>0.38036373039999993</v>
      </c>
      <c r="AP20" s="4">
        <f t="shared" si="9"/>
        <v>555</v>
      </c>
      <c r="AQ20" s="16">
        <f t="shared" si="9"/>
        <v>0.47478663999999993</v>
      </c>
      <c r="AR20" s="22">
        <f t="shared" si="9"/>
        <v>1.3075786103999998</v>
      </c>
      <c r="AT20" s="25">
        <v>8.6248370000000005E-2</v>
      </c>
      <c r="AU20" s="4">
        <f t="shared" ref="AU20:BC20" si="10">SUM(AU4:AU19)</f>
        <v>14</v>
      </c>
      <c r="AV20" s="4">
        <f t="shared" si="10"/>
        <v>0.15900000000000003</v>
      </c>
      <c r="AW20" s="16">
        <f t="shared" si="10"/>
        <v>0.63303199999999993</v>
      </c>
      <c r="AX20" s="4">
        <f t="shared" si="10"/>
        <v>0</v>
      </c>
      <c r="AY20" s="16">
        <f t="shared" si="10"/>
        <v>0.25642824000000003</v>
      </c>
      <c r="AZ20" s="16">
        <f t="shared" si="10"/>
        <v>0.38036373039999993</v>
      </c>
      <c r="BA20" s="4">
        <f t="shared" si="10"/>
        <v>555</v>
      </c>
      <c r="BB20" s="16">
        <f t="shared" si="10"/>
        <v>0.47478663999999993</v>
      </c>
      <c r="BC20" s="46">
        <f t="shared" si="10"/>
        <v>1.9036106103999995</v>
      </c>
      <c r="BD20" s="41"/>
      <c r="BF20" s="25">
        <v>8.6248370000000005E-2</v>
      </c>
      <c r="BG20" s="4">
        <f t="shared" ref="BG20:BO20" si="11">SUM(BG4:BG19)</f>
        <v>17</v>
      </c>
      <c r="BH20" s="4">
        <f t="shared" si="11"/>
        <v>0.19600000000000001</v>
      </c>
      <c r="BI20" s="29">
        <f t="shared" si="11"/>
        <v>0.63303199999999993</v>
      </c>
      <c r="BJ20" s="4">
        <f t="shared" si="11"/>
        <v>0</v>
      </c>
      <c r="BK20" s="16">
        <f t="shared" si="11"/>
        <v>0.25642824000000003</v>
      </c>
      <c r="BL20" s="16">
        <f t="shared" si="11"/>
        <v>0.38036373039999993</v>
      </c>
      <c r="BM20" s="28">
        <f t="shared" si="11"/>
        <v>555</v>
      </c>
      <c r="BN20" s="29">
        <f t="shared" si="11"/>
        <v>0.47478663999999993</v>
      </c>
      <c r="BO20" s="46">
        <f t="shared" si="11"/>
        <v>1.9406106103999994</v>
      </c>
    </row>
    <row r="22" spans="1:67" ht="15.75" thickBot="1" x14ac:dyDescent="0.3"/>
    <row r="23" spans="1:67" ht="46.5" thickBot="1" x14ac:dyDescent="0.3">
      <c r="A23" t="s">
        <v>76</v>
      </c>
      <c r="V23" t="s">
        <v>77</v>
      </c>
      <c r="W23" s="214" t="s">
        <v>1</v>
      </c>
      <c r="X23" s="215"/>
      <c r="Y23" s="214" t="s">
        <v>31</v>
      </c>
      <c r="Z23" s="215"/>
      <c r="AA23" s="34" t="s">
        <v>32</v>
      </c>
      <c r="AB23" s="214" t="s">
        <v>64</v>
      </c>
      <c r="AC23" s="215"/>
      <c r="AD23" s="82" t="s">
        <v>65</v>
      </c>
      <c r="AE23" s="83"/>
      <c r="AF23" s="83" t="s">
        <v>23</v>
      </c>
    </row>
    <row r="24" spans="1:67" x14ac:dyDescent="0.25">
      <c r="X24" t="s">
        <v>28</v>
      </c>
      <c r="Y24" t="s">
        <v>5</v>
      </c>
      <c r="AA24" t="s">
        <v>28</v>
      </c>
    </row>
    <row r="25" spans="1:67" x14ac:dyDescent="0.25">
      <c r="A25" t="s">
        <v>10</v>
      </c>
      <c r="V25" s="92">
        <v>0.13</v>
      </c>
      <c r="X25">
        <f>SUM(Y$10*V25)</f>
        <v>0</v>
      </c>
      <c r="Y25" s="94">
        <f>SUM(AA$10*V$25)</f>
        <v>9.0766247000000002E-4</v>
      </c>
      <c r="AA25">
        <f>SUM(AB10*V25)</f>
        <v>9.5303832000000004E-4</v>
      </c>
    </row>
    <row r="26" spans="1:67" x14ac:dyDescent="0.25">
      <c r="A26" t="s">
        <v>22</v>
      </c>
      <c r="V26" s="92">
        <v>0.39</v>
      </c>
      <c r="X26">
        <f>SUM(Y$10*V26)</f>
        <v>0</v>
      </c>
      <c r="Y26" s="94">
        <f>SUM(AA$10*V$26)</f>
        <v>2.7229874100000002E-3</v>
      </c>
      <c r="AA26">
        <f>SUM(AB10*V26)</f>
        <v>2.8591149599999999E-3</v>
      </c>
    </row>
    <row r="28" spans="1:67" x14ac:dyDescent="0.25">
      <c r="A28" t="s">
        <v>78</v>
      </c>
      <c r="X28">
        <f>SUM(Y19+X25)</f>
        <v>0</v>
      </c>
      <c r="Y28" s="94">
        <f>SUM(Y26+AA19)</f>
        <v>7.3276374100000007E-3</v>
      </c>
      <c r="AA28" s="93">
        <f>SUM(AA26+AB19)</f>
        <v>9.2099597600000006E-3</v>
      </c>
    </row>
    <row r="29" spans="1:67" x14ac:dyDescent="0.25">
      <c r="A29" t="s">
        <v>79</v>
      </c>
      <c r="X29">
        <f>SUM(X25+Y7)</f>
        <v>0</v>
      </c>
      <c r="Y29" s="94">
        <f>SUM(Y25+AA7)</f>
        <v>1.1841122470000002E-2</v>
      </c>
      <c r="AA29" s="93">
        <f>SUM(AA25+AB7)</f>
        <v>1.6877628719999999E-2</v>
      </c>
    </row>
  </sheetData>
  <mergeCells count="25">
    <mergeCell ref="W23:X23"/>
    <mergeCell ref="Y23:Z23"/>
    <mergeCell ref="AB23:AC23"/>
    <mergeCell ref="BG1:BO1"/>
    <mergeCell ref="BG2:BH2"/>
    <mergeCell ref="BJ2:BK2"/>
    <mergeCell ref="AK1:AR1"/>
    <mergeCell ref="AK2:AL2"/>
    <mergeCell ref="AM2:AN2"/>
    <mergeCell ref="AU1:BC1"/>
    <mergeCell ref="AU2:AV2"/>
    <mergeCell ref="AX2:AY2"/>
    <mergeCell ref="X1:AG1"/>
    <mergeCell ref="X2:Y2"/>
    <mergeCell ref="Z2:AA2"/>
    <mergeCell ref="AE2:AF2"/>
    <mergeCell ref="AC2:AD2"/>
    <mergeCell ref="D1:K1"/>
    <mergeCell ref="O1:U1"/>
    <mergeCell ref="D2:E2"/>
    <mergeCell ref="F2:G2"/>
    <mergeCell ref="H2:I2"/>
    <mergeCell ref="O2:P2"/>
    <mergeCell ref="Q2:R2"/>
    <mergeCell ref="S2:T2"/>
  </mergeCells>
  <conditionalFormatting sqref="BD4:BD19">
    <cfRule type="cellIs" dxfId="5" priority="1" operator="lessThan">
      <formula>1</formula>
    </cfRule>
    <cfRule type="cellIs" dxfId="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2" sqref="B12"/>
    </sheetView>
  </sheetViews>
  <sheetFormatPr defaultRowHeight="15" x14ac:dyDescent="0.25"/>
  <cols>
    <col min="1" max="1" width="24.140625" bestFit="1" customWidth="1"/>
    <col min="2" max="5" width="8.85546875" customWidth="1"/>
  </cols>
  <sheetData>
    <row r="1" spans="1:6" x14ac:dyDescent="0.25">
      <c r="A1" s="47" t="s">
        <v>46</v>
      </c>
    </row>
    <row r="3" spans="1:6" x14ac:dyDescent="0.25">
      <c r="A3" t="s">
        <v>35</v>
      </c>
      <c r="B3">
        <v>1.1944E-2</v>
      </c>
    </row>
    <row r="4" spans="1:6" x14ac:dyDescent="0.25">
      <c r="B4" t="s">
        <v>48</v>
      </c>
      <c r="C4" t="s">
        <v>28</v>
      </c>
      <c r="E4">
        <v>36</v>
      </c>
      <c r="F4">
        <f>SUM(C5,C9)</f>
        <v>0.42998399999999998</v>
      </c>
    </row>
    <row r="5" spans="1:6" x14ac:dyDescent="0.25">
      <c r="A5" t="s">
        <v>39</v>
      </c>
      <c r="B5">
        <v>30</v>
      </c>
      <c r="C5">
        <f>SUM(B5*B3)</f>
        <v>0.35831999999999997</v>
      </c>
      <c r="E5">
        <v>10</v>
      </c>
      <c r="F5">
        <f>C6</f>
        <v>0.11943999999999999</v>
      </c>
    </row>
    <row r="6" spans="1:6" x14ac:dyDescent="0.25">
      <c r="A6" t="s">
        <v>40</v>
      </c>
      <c r="B6">
        <v>10</v>
      </c>
      <c r="C6">
        <f>SUM(B6*B3)</f>
        <v>0.11943999999999999</v>
      </c>
      <c r="E6">
        <v>2</v>
      </c>
      <c r="F6">
        <f>C7</f>
        <v>2.3888E-2</v>
      </c>
    </row>
    <row r="7" spans="1:6" x14ac:dyDescent="0.25">
      <c r="A7" t="s">
        <v>36</v>
      </c>
      <c r="B7">
        <v>2</v>
      </c>
      <c r="C7">
        <f>SUM(B7*B3)</f>
        <v>2.3888E-2</v>
      </c>
      <c r="E7">
        <v>5</v>
      </c>
      <c r="F7">
        <f>C8</f>
        <v>5.9719999999999995E-2</v>
      </c>
    </row>
    <row r="8" spans="1:6" x14ac:dyDescent="0.25">
      <c r="A8" t="s">
        <v>37</v>
      </c>
      <c r="B8">
        <v>5</v>
      </c>
      <c r="C8">
        <f>SUM(B8*B3)</f>
        <v>5.9719999999999995E-2</v>
      </c>
    </row>
    <row r="9" spans="1:6" x14ac:dyDescent="0.25">
      <c r="A9" t="s">
        <v>38</v>
      </c>
      <c r="B9">
        <v>6</v>
      </c>
      <c r="C9">
        <f>SUM(B9*B3)</f>
        <v>7.1664000000000005E-2</v>
      </c>
    </row>
    <row r="11" spans="1:6" x14ac:dyDescent="0.25">
      <c r="A11" s="47" t="s">
        <v>45</v>
      </c>
    </row>
    <row r="12" spans="1:6" x14ac:dyDescent="0.25">
      <c r="A12" t="s">
        <v>35</v>
      </c>
      <c r="B12">
        <v>1.1944E-2</v>
      </c>
    </row>
    <row r="13" spans="1:6" x14ac:dyDescent="0.25">
      <c r="B13" t="s">
        <v>48</v>
      </c>
      <c r="C13" t="s">
        <v>28</v>
      </c>
    </row>
    <row r="14" spans="1:6" x14ac:dyDescent="0.25">
      <c r="A14" t="s">
        <v>39</v>
      </c>
      <c r="B14">
        <v>35</v>
      </c>
      <c r="C14">
        <f>SUM(B14*B12)</f>
        <v>0.41803999999999997</v>
      </c>
      <c r="E14" t="s">
        <v>17</v>
      </c>
    </row>
    <row r="15" spans="1:6" x14ac:dyDescent="0.25">
      <c r="A15" t="s">
        <v>40</v>
      </c>
      <c r="B15">
        <v>15</v>
      </c>
      <c r="C15">
        <f>SUM(B15*B12)</f>
        <v>0.17915999999999999</v>
      </c>
    </row>
    <row r="16" spans="1:6" x14ac:dyDescent="0.25">
      <c r="A16" t="s">
        <v>36</v>
      </c>
      <c r="B16">
        <v>2</v>
      </c>
      <c r="C16">
        <f>SUM(B16*B12)</f>
        <v>2.3888E-2</v>
      </c>
    </row>
    <row r="17" spans="1:3" x14ac:dyDescent="0.25">
      <c r="A17" t="s">
        <v>49</v>
      </c>
      <c r="B17">
        <v>5</v>
      </c>
      <c r="C17">
        <f>SUM(B17*B12)</f>
        <v>5.9719999999999995E-2</v>
      </c>
    </row>
    <row r="18" spans="1:3" x14ac:dyDescent="0.25">
      <c r="A18" t="s">
        <v>9</v>
      </c>
      <c r="B18">
        <v>8</v>
      </c>
      <c r="C18">
        <f>SUM(B18*B12)</f>
        <v>9.5551999999999998E-2</v>
      </c>
    </row>
    <row r="19" spans="1:3" x14ac:dyDescent="0.25">
      <c r="A19" t="s">
        <v>38</v>
      </c>
      <c r="B19">
        <v>6</v>
      </c>
      <c r="C19">
        <f>SUM(B19*B12)</f>
        <v>7.1664000000000005E-2</v>
      </c>
    </row>
    <row r="20" spans="1:3" x14ac:dyDescent="0.25">
      <c r="A20" t="s">
        <v>47</v>
      </c>
      <c r="B20">
        <v>8</v>
      </c>
      <c r="C20">
        <f>SUM(B20*B12)</f>
        <v>9.5551999999999998E-2</v>
      </c>
    </row>
    <row r="22" spans="1:3" x14ac:dyDescent="0.25">
      <c r="A22" t="s">
        <v>63</v>
      </c>
      <c r="B22">
        <v>8.3333333333000001E-4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workbookViewId="0">
      <selection activeCell="A26" sqref="A26"/>
    </sheetView>
  </sheetViews>
  <sheetFormatPr defaultRowHeight="15" x14ac:dyDescent="0.25"/>
  <cols>
    <col min="1" max="1" width="19.5703125" customWidth="1"/>
    <col min="2" max="2" width="11.85546875" customWidth="1"/>
    <col min="3" max="3" width="7.140625" customWidth="1"/>
    <col min="4" max="4" width="7.140625" style="49" customWidth="1"/>
    <col min="5" max="5" width="13.85546875" customWidth="1"/>
    <col min="6" max="6" width="12.140625" customWidth="1"/>
    <col min="7" max="7" width="12.5703125" customWidth="1"/>
    <col min="9" max="9" width="16.7109375" customWidth="1"/>
    <col min="10" max="10" width="14.85546875" customWidth="1"/>
    <col min="11" max="11" width="14.85546875" hidden="1" customWidth="1"/>
    <col min="12" max="12" width="13.42578125" customWidth="1"/>
    <col min="14" max="14" width="14.85546875" customWidth="1"/>
    <col min="15" max="15" width="11.7109375" hidden="1" customWidth="1"/>
    <col min="16" max="16" width="0" hidden="1" customWidth="1"/>
    <col min="17" max="17" width="17.42578125" customWidth="1"/>
    <col min="19" max="19" width="16.85546875" customWidth="1"/>
    <col min="20" max="20" width="16.42578125" bestFit="1" customWidth="1"/>
  </cols>
  <sheetData>
    <row r="2" spans="1:20" x14ac:dyDescent="0.25">
      <c r="F2" t="s">
        <v>23</v>
      </c>
    </row>
    <row r="3" spans="1:20" ht="15.75" thickBot="1" x14ac:dyDescent="0.3"/>
    <row r="4" spans="1:20" ht="34.35" customHeight="1" thickBot="1" x14ac:dyDescent="0.3">
      <c r="A4" s="1"/>
      <c r="B4" s="214" t="s">
        <v>27</v>
      </c>
      <c r="C4" s="215"/>
      <c r="D4" s="7"/>
      <c r="E4" s="43" t="s">
        <v>55</v>
      </c>
      <c r="F4" s="222" t="s">
        <v>57</v>
      </c>
      <c r="G4" s="223"/>
      <c r="I4" s="222" t="s">
        <v>51</v>
      </c>
      <c r="J4" s="223"/>
      <c r="K4" s="61" t="s">
        <v>52</v>
      </c>
      <c r="L4" s="77" t="s">
        <v>58</v>
      </c>
      <c r="N4" s="77" t="s">
        <v>61</v>
      </c>
      <c r="O4" s="61" t="s">
        <v>53</v>
      </c>
      <c r="P4" s="60" t="s">
        <v>54</v>
      </c>
      <c r="Q4" s="76" t="s">
        <v>66</v>
      </c>
      <c r="S4" s="220" t="s">
        <v>67</v>
      </c>
      <c r="T4" s="221"/>
    </row>
    <row r="5" spans="1:20" ht="29.45" customHeight="1" thickBot="1" x14ac:dyDescent="0.3">
      <c r="A5" s="2" t="s">
        <v>3</v>
      </c>
      <c r="B5" s="1" t="s">
        <v>28</v>
      </c>
      <c r="C5" s="43" t="s">
        <v>56</v>
      </c>
      <c r="D5" s="50"/>
      <c r="E5" s="43" t="s">
        <v>5</v>
      </c>
      <c r="F5" s="68" t="s">
        <v>5</v>
      </c>
      <c r="G5" s="68" t="s">
        <v>56</v>
      </c>
      <c r="I5" s="68" t="s">
        <v>56</v>
      </c>
      <c r="J5" s="73" t="s">
        <v>5</v>
      </c>
      <c r="L5" s="76" t="s">
        <v>59</v>
      </c>
      <c r="N5" s="76" t="s">
        <v>62</v>
      </c>
      <c r="S5" s="76" t="s">
        <v>68</v>
      </c>
      <c r="T5" s="89" t="s">
        <v>69</v>
      </c>
    </row>
    <row r="6" spans="1:20" ht="15.75" thickBot="1" x14ac:dyDescent="0.3">
      <c r="A6" s="2" t="s">
        <v>7</v>
      </c>
      <c r="B6" s="55">
        <v>0.08</v>
      </c>
      <c r="C6" s="56">
        <f>B6/$B$22</f>
        <v>5.3691275167785227E-2</v>
      </c>
      <c r="D6" s="57"/>
      <c r="E6" s="51">
        <f>Blad1!AG4</f>
        <v>9.0670031200000001E-2</v>
      </c>
      <c r="F6" s="69">
        <f>E6-B6</f>
        <v>1.0670031199999999E-2</v>
      </c>
      <c r="G6" s="70">
        <f>E6/$B$22</f>
        <v>6.0852369932885897E-2</v>
      </c>
      <c r="I6" s="74">
        <f t="shared" ref="I6:I21" si="0">C6-G6</f>
        <v>-7.1610947651006701E-3</v>
      </c>
      <c r="J6" s="69">
        <f>I6*$B$22</f>
        <v>-1.0670031199999999E-2</v>
      </c>
      <c r="K6" s="64">
        <f>J6/$J$22</f>
        <v>-7.7667372414258723E-2</v>
      </c>
      <c r="L6" s="75">
        <f>J6/Blad2!B$22</f>
        <v>-12.804037440051214</v>
      </c>
      <c r="N6" s="78">
        <f>J6/Blad2!B$3</f>
        <v>-0.8933381781647689</v>
      </c>
      <c r="O6" s="52">
        <v>5</v>
      </c>
      <c r="P6" s="52">
        <f>O6-N6</f>
        <v>5.8933381781647691</v>
      </c>
      <c r="S6" s="78">
        <f>SUM(L6+Blad1!AE4)</f>
        <v>-12.804037440051214</v>
      </c>
      <c r="T6" s="78"/>
    </row>
    <row r="7" spans="1:20" ht="15.75" thickBot="1" x14ac:dyDescent="0.3">
      <c r="A7" s="2" t="s">
        <v>8</v>
      </c>
      <c r="B7" s="55">
        <v>0.02</v>
      </c>
      <c r="C7" s="56">
        <f t="shared" ref="C7:C21" si="1">B7/$B$22</f>
        <v>1.3422818791946307E-2</v>
      </c>
      <c r="D7" s="57"/>
      <c r="E7" s="51">
        <f>Blad1!AG5</f>
        <v>3.61048868E-2</v>
      </c>
      <c r="F7" s="69">
        <f t="shared" ref="F7:F21" si="2">E7-B7</f>
        <v>1.6104886799999999E-2</v>
      </c>
      <c r="G7" s="70">
        <f t="shared" ref="G7:G21" si="3">E7/$B$22</f>
        <v>2.4231467651006706E-2</v>
      </c>
      <c r="I7" s="74">
        <f t="shared" si="0"/>
        <v>-1.08086488590604E-2</v>
      </c>
      <c r="J7" s="69">
        <f t="shared" ref="J7:J21" si="4">I7*$B$22</f>
        <v>-1.6104886799999999E-2</v>
      </c>
      <c r="K7" s="64">
        <f t="shared" ref="K7:K21" si="5">J7/$J$22</f>
        <v>-0.11722779599604916</v>
      </c>
      <c r="L7" s="75">
        <f>J7/Blad2!B$22</f>
        <v>-19.325864160077302</v>
      </c>
      <c r="N7" s="79">
        <f>J7/Blad2!B$3</f>
        <v>-1.3483662759544541</v>
      </c>
      <c r="O7" s="52">
        <v>0</v>
      </c>
      <c r="P7" s="52">
        <f t="shared" ref="P7:P21" si="6">O7-N7</f>
        <v>1.3483662759544541</v>
      </c>
      <c r="S7" s="78">
        <f>SUM(L7+Blad1!AE5)</f>
        <v>-19.325864160077302</v>
      </c>
      <c r="T7" s="78"/>
    </row>
    <row r="8" spans="1:20" ht="15.75" thickBot="1" x14ac:dyDescent="0.3">
      <c r="A8" s="2" t="s">
        <v>9</v>
      </c>
      <c r="B8" s="55">
        <v>0.11</v>
      </c>
      <c r="C8" s="56">
        <f t="shared" si="1"/>
        <v>7.3825503355704689E-2</v>
      </c>
      <c r="D8" s="57"/>
      <c r="E8" s="51">
        <f>Blad1!AG6</f>
        <v>6.9573376199999995E-2</v>
      </c>
      <c r="F8" s="69">
        <f t="shared" si="2"/>
        <v>-4.0426623800000006E-2</v>
      </c>
      <c r="G8" s="70">
        <f t="shared" si="3"/>
        <v>4.6693541073825492E-2</v>
      </c>
      <c r="I8" s="74">
        <f t="shared" si="0"/>
        <v>2.7131962281879196E-2</v>
      </c>
      <c r="J8" s="69">
        <f t="shared" si="4"/>
        <v>4.0426623800000006E-2</v>
      </c>
      <c r="K8" s="64">
        <f t="shared" si="5"/>
        <v>0.29426621040487078</v>
      </c>
      <c r="L8" s="75">
        <f>J8/Blad2!B$22</f>
        <v>48.511948560194057</v>
      </c>
      <c r="N8" s="78">
        <f>J8/Blad2!B$3</f>
        <v>3.3846804922973885</v>
      </c>
      <c r="O8" s="52">
        <v>3</v>
      </c>
      <c r="P8" s="52">
        <f t="shared" si="6"/>
        <v>-0.38468049229738854</v>
      </c>
      <c r="Q8" s="91"/>
      <c r="S8" s="78">
        <f>SUM(L8+Blad1!AE6)</f>
        <v>48.511948560194057</v>
      </c>
      <c r="T8" s="78"/>
    </row>
    <row r="9" spans="1:20" ht="15.75" thickBot="1" x14ac:dyDescent="0.3">
      <c r="A9" s="2" t="s">
        <v>10</v>
      </c>
      <c r="B9" s="55">
        <v>0.08</v>
      </c>
      <c r="C9" s="56">
        <f t="shared" si="1"/>
        <v>5.3691275167785227E-2</v>
      </c>
      <c r="D9" s="57"/>
      <c r="E9" s="51">
        <f>Blad1!AG7</f>
        <v>4.4080410399999999E-2</v>
      </c>
      <c r="F9" s="69">
        <f t="shared" si="2"/>
        <v>-3.5919589600000003E-2</v>
      </c>
      <c r="G9" s="70">
        <f t="shared" si="3"/>
        <v>2.9584168053691271E-2</v>
      </c>
      <c r="I9" s="74">
        <f t="shared" si="0"/>
        <v>2.4107107114093956E-2</v>
      </c>
      <c r="J9" s="69">
        <f t="shared" si="4"/>
        <v>3.5919589599999996E-2</v>
      </c>
      <c r="K9" s="64">
        <f t="shared" si="5"/>
        <v>0.26145941751609258</v>
      </c>
      <c r="L9" s="75">
        <f>J9/Blad2!B$22</f>
        <v>43.103507520172407</v>
      </c>
      <c r="N9" s="78">
        <f>J9/Blad2!B$3</f>
        <v>3.0073333556597452</v>
      </c>
      <c r="O9" s="52"/>
      <c r="P9" s="52">
        <f t="shared" si="6"/>
        <v>-3.0073333556597452</v>
      </c>
      <c r="S9" s="78">
        <f>SUM(L9+Blad1!AE7)</f>
        <v>63.103507520172407</v>
      </c>
      <c r="T9" s="78"/>
    </row>
    <row r="10" spans="1:20" ht="15.75" thickBot="1" x14ac:dyDescent="0.3">
      <c r="A10" s="2" t="s">
        <v>11</v>
      </c>
      <c r="B10" s="55">
        <v>0.09</v>
      </c>
      <c r="C10" s="56">
        <f t="shared" si="1"/>
        <v>6.0402684563758378E-2</v>
      </c>
      <c r="D10" s="57"/>
      <c r="E10" s="51">
        <f>Blad1!AG8</f>
        <v>8.6553282400000001E-2</v>
      </c>
      <c r="F10" s="69">
        <f t="shared" si="2"/>
        <v>-3.4467175999999961E-3</v>
      </c>
      <c r="G10" s="70">
        <f t="shared" si="3"/>
        <v>5.8089451275167778E-2</v>
      </c>
      <c r="I10" s="74">
        <f t="shared" si="0"/>
        <v>2.3132332885906007E-3</v>
      </c>
      <c r="J10" s="69">
        <f t="shared" si="4"/>
        <v>3.4467175999999956E-3</v>
      </c>
      <c r="K10" s="64">
        <f t="shared" si="5"/>
        <v>2.5088726961358811E-2</v>
      </c>
      <c r="L10" s="75">
        <f>J10/Blad2!B$22</f>
        <v>4.1360611200165387</v>
      </c>
      <c r="N10" s="78">
        <f>J10/Blad2!B$3</f>
        <v>0.2885731413261885</v>
      </c>
      <c r="O10" s="52"/>
      <c r="P10" s="52">
        <f t="shared" si="6"/>
        <v>-0.2885731413261885</v>
      </c>
      <c r="S10" s="78">
        <f>SUM(L10+Blad1!AE8)</f>
        <v>4.1360611200165387</v>
      </c>
      <c r="T10" s="78"/>
    </row>
    <row r="11" spans="1:20" ht="15.75" thickBot="1" x14ac:dyDescent="0.3">
      <c r="A11" s="2" t="s">
        <v>12</v>
      </c>
      <c r="B11" s="55">
        <v>0.02</v>
      </c>
      <c r="C11" s="56">
        <f t="shared" si="1"/>
        <v>1.3422818791946307E-2</v>
      </c>
      <c r="D11" s="57"/>
      <c r="E11" s="51">
        <f>Blad1!AG9</f>
        <v>2.4684513599999999E-2</v>
      </c>
      <c r="F11" s="69">
        <f t="shared" si="2"/>
        <v>4.6845135999999989E-3</v>
      </c>
      <c r="G11" s="70">
        <f t="shared" si="3"/>
        <v>1.656678765100671E-2</v>
      </c>
      <c r="I11" s="74">
        <f t="shared" si="0"/>
        <v>-3.1439688590604031E-3</v>
      </c>
      <c r="J11" s="69">
        <f t="shared" si="4"/>
        <v>-4.6845136000000015E-3</v>
      </c>
      <c r="K11" s="64">
        <f t="shared" si="5"/>
        <v>-3.4098669022716632E-2</v>
      </c>
      <c r="L11" s="75">
        <f>J11/Blad2!B$22</f>
        <v>-5.6214163200224876</v>
      </c>
      <c r="N11" s="79">
        <f>J11/Blad2!B$3</f>
        <v>-0.39220643000669808</v>
      </c>
      <c r="O11" s="52"/>
      <c r="P11" s="52">
        <f t="shared" si="6"/>
        <v>0.39220643000669808</v>
      </c>
      <c r="S11" s="78">
        <f>SUM(L11+Blad1!AE9)</f>
        <v>-5.6214163200224876</v>
      </c>
      <c r="T11" s="78"/>
    </row>
    <row r="12" spans="1:20" ht="15.75" thickBot="1" x14ac:dyDescent="0.3">
      <c r="A12" s="2" t="s">
        <v>13</v>
      </c>
      <c r="B12" s="55">
        <v>0.03</v>
      </c>
      <c r="C12" s="56">
        <f t="shared" si="1"/>
        <v>2.0134228187919458E-2</v>
      </c>
      <c r="D12" s="57"/>
      <c r="E12" s="51">
        <f>Blad1!AG10</f>
        <v>1.4313083000000001E-2</v>
      </c>
      <c r="F12" s="69">
        <f t="shared" si="2"/>
        <v>-1.5686916999999998E-2</v>
      </c>
      <c r="G12" s="70">
        <f t="shared" si="3"/>
        <v>9.6060959731543612E-3</v>
      </c>
      <c r="I12" s="74">
        <f t="shared" si="0"/>
        <v>1.0528132214765097E-2</v>
      </c>
      <c r="J12" s="69">
        <f t="shared" si="4"/>
        <v>1.5686916999999998E-2</v>
      </c>
      <c r="K12" s="64">
        <f t="shared" si="5"/>
        <v>0.11418538538767967</v>
      </c>
      <c r="L12" s="75">
        <f>J12/Blad2!B$22</f>
        <v>18.824300400075295</v>
      </c>
      <c r="N12" s="78">
        <f>J12/Blad2!B$3</f>
        <v>1.3133721533824514</v>
      </c>
      <c r="O12" s="52"/>
      <c r="P12" s="52">
        <f t="shared" si="6"/>
        <v>-1.3133721533824514</v>
      </c>
      <c r="S12" s="78">
        <f>SUM(L12+Blad1!AE10)</f>
        <v>18.824300400075295</v>
      </c>
      <c r="T12" s="78"/>
    </row>
    <row r="13" spans="1:20" ht="15.75" thickBot="1" x14ac:dyDescent="0.3">
      <c r="A13" s="2" t="s">
        <v>14</v>
      </c>
      <c r="B13" s="55">
        <v>0.04</v>
      </c>
      <c r="C13" s="56">
        <f t="shared" si="1"/>
        <v>2.6845637583892613E-2</v>
      </c>
      <c r="D13" s="57"/>
      <c r="E13" s="51">
        <f>Blad1!AG11</f>
        <v>2.8682908600000001E-2</v>
      </c>
      <c r="F13" s="69">
        <f t="shared" si="2"/>
        <v>-1.13170914E-2</v>
      </c>
      <c r="G13" s="70">
        <f t="shared" si="3"/>
        <v>1.9250274228187918E-2</v>
      </c>
      <c r="I13" s="74">
        <f t="shared" si="0"/>
        <v>7.5953633557046957E-3</v>
      </c>
      <c r="J13" s="69">
        <f t="shared" si="4"/>
        <v>1.1317091399999998E-2</v>
      </c>
      <c r="K13" s="64">
        <f t="shared" si="5"/>
        <v>8.237733666701974E-2</v>
      </c>
      <c r="L13" s="75">
        <f>J13/Blad2!B$22</f>
        <v>13.58050968005432</v>
      </c>
      <c r="N13" s="78">
        <f>J13/Blad2!B$3</f>
        <v>0.94751267582049548</v>
      </c>
      <c r="O13" s="52"/>
      <c r="P13" s="52">
        <f t="shared" si="6"/>
        <v>-0.94751267582049548</v>
      </c>
      <c r="S13" s="78">
        <f>SUM(L13+Blad1!AE11)</f>
        <v>13.58050968005432</v>
      </c>
      <c r="T13" s="78"/>
    </row>
    <row r="14" spans="1:20" ht="15.75" thickBot="1" x14ac:dyDescent="0.3">
      <c r="A14" s="2" t="s">
        <v>15</v>
      </c>
      <c r="B14" s="55">
        <v>0.25</v>
      </c>
      <c r="C14" s="56">
        <f t="shared" si="1"/>
        <v>0.16778523489932884</v>
      </c>
      <c r="D14" s="57"/>
      <c r="E14" s="51">
        <f>Blad1!AG12</f>
        <v>0.22912350380000002</v>
      </c>
      <c r="F14" s="69">
        <f t="shared" si="2"/>
        <v>-2.0876496199999983E-2</v>
      </c>
      <c r="G14" s="70">
        <f t="shared" si="3"/>
        <v>0.15377416362416108</v>
      </c>
      <c r="I14" s="74">
        <f t="shared" si="0"/>
        <v>1.4011071275167764E-2</v>
      </c>
      <c r="J14" s="69">
        <f t="shared" si="4"/>
        <v>2.0876496199999969E-2</v>
      </c>
      <c r="K14" s="64">
        <f t="shared" si="5"/>
        <v>0.15196043710446272</v>
      </c>
      <c r="L14" s="75">
        <f>J14/Blad2!B$22</f>
        <v>25.051795440100172</v>
      </c>
      <c r="M14" s="67" t="s">
        <v>60</v>
      </c>
      <c r="N14" s="78">
        <f>J14/Blad2!B$3</f>
        <v>1.7478647186872045</v>
      </c>
      <c r="O14" s="52"/>
      <c r="P14" s="52">
        <f t="shared" si="6"/>
        <v>-1.7478647186872045</v>
      </c>
      <c r="S14" s="78">
        <f>SUM(L14+Blad1!AE12)</f>
        <v>25.051795440100172</v>
      </c>
      <c r="T14" s="78"/>
    </row>
    <row r="15" spans="1:20" ht="15.75" thickBot="1" x14ac:dyDescent="0.3">
      <c r="A15" s="2" t="s">
        <v>16</v>
      </c>
      <c r="B15" s="55">
        <v>0.02</v>
      </c>
      <c r="C15" s="56">
        <f t="shared" si="1"/>
        <v>1.3422818791946307E-2</v>
      </c>
      <c r="D15" s="57"/>
      <c r="E15" s="51">
        <f>Blad1!AG13</f>
        <v>1.4602750400000001E-2</v>
      </c>
      <c r="F15" s="69">
        <f t="shared" si="2"/>
        <v>-5.3972495999999991E-3</v>
      </c>
      <c r="G15" s="70">
        <f t="shared" si="3"/>
        <v>9.8005036241610739E-3</v>
      </c>
      <c r="I15" s="74">
        <f t="shared" si="0"/>
        <v>3.6223151677852328E-3</v>
      </c>
      <c r="J15" s="69">
        <f t="shared" si="4"/>
        <v>5.3972495999999974E-3</v>
      </c>
      <c r="K15" s="64">
        <f t="shared" si="5"/>
        <v>3.9286688748942811E-2</v>
      </c>
      <c r="L15" s="75">
        <f>J15/Blad2!B$22</f>
        <v>6.4766995200259032</v>
      </c>
      <c r="N15" s="78">
        <f>J15/Blad2!B$3</f>
        <v>0.45187957133288659</v>
      </c>
      <c r="O15" s="52"/>
      <c r="P15" s="52">
        <f t="shared" si="6"/>
        <v>-0.45187957133288659</v>
      </c>
      <c r="S15" s="78">
        <f>SUM(L15+Blad1!AE13)</f>
        <v>6.4766995200259032</v>
      </c>
      <c r="T15" s="78"/>
    </row>
    <row r="16" spans="1:20" ht="15.75" thickBot="1" x14ac:dyDescent="0.3">
      <c r="A16" s="2" t="s">
        <v>17</v>
      </c>
      <c r="B16" s="55">
        <v>0.21</v>
      </c>
      <c r="C16" s="56">
        <f t="shared" si="1"/>
        <v>0.1409395973154362</v>
      </c>
      <c r="D16" s="57"/>
      <c r="E16" s="51">
        <f>Blad1!AG14</f>
        <v>0.27875627999999997</v>
      </c>
      <c r="F16" s="69">
        <f t="shared" si="2"/>
        <v>6.8756279999999975E-2</v>
      </c>
      <c r="G16" s="70">
        <f t="shared" si="3"/>
        <v>0.1870847516778523</v>
      </c>
      <c r="I16" s="74">
        <f t="shared" si="0"/>
        <v>-4.6145154362416091E-2</v>
      </c>
      <c r="J16" s="69">
        <f t="shared" si="4"/>
        <v>-6.8756279999999989E-2</v>
      </c>
      <c r="K16" s="64">
        <f t="shared" si="5"/>
        <v>-0.50047834954588033</v>
      </c>
      <c r="L16" s="75">
        <f>J16/Blad2!B$22</f>
        <v>-82.50753600033002</v>
      </c>
      <c r="N16" s="78">
        <f>J16/Blad2!B$3</f>
        <v>-5.7565539182853307</v>
      </c>
      <c r="O16" s="52"/>
      <c r="P16" s="52">
        <f t="shared" si="6"/>
        <v>5.7565539182853307</v>
      </c>
      <c r="Q16" s="91"/>
      <c r="S16" s="78">
        <f>SUM(L16+Blad1!AE14)</f>
        <v>67.49246399966998</v>
      </c>
      <c r="T16" s="78"/>
    </row>
    <row r="17" spans="1:20" ht="15.75" thickBot="1" x14ac:dyDescent="0.3">
      <c r="A17" s="2" t="s">
        <v>18</v>
      </c>
      <c r="B17" s="55">
        <v>0.31</v>
      </c>
      <c r="C17" s="56">
        <f t="shared" si="1"/>
        <v>0.20805369127516776</v>
      </c>
      <c r="D17" s="57"/>
      <c r="E17" s="51">
        <f>Blad1!AG15</f>
        <v>0.2561234416</v>
      </c>
      <c r="F17" s="69">
        <f t="shared" si="2"/>
        <v>-5.3876558399999996E-2</v>
      </c>
      <c r="G17" s="70">
        <f t="shared" si="3"/>
        <v>0.17189492724832212</v>
      </c>
      <c r="I17" s="74">
        <f t="shared" si="0"/>
        <v>3.6158764026845647E-2</v>
      </c>
      <c r="J17" s="69">
        <f t="shared" si="4"/>
        <v>5.3876558400000024E-2</v>
      </c>
      <c r="K17" s="64">
        <f t="shared" si="5"/>
        <v>0.39216855576311355</v>
      </c>
      <c r="L17" s="75">
        <f>J17/Blad2!B$22</f>
        <v>64.651870080258632</v>
      </c>
      <c r="N17" s="78">
        <f>J17/Blad2!B$3</f>
        <v>4.5107634293369081</v>
      </c>
      <c r="O17" s="52"/>
      <c r="P17" s="52">
        <f t="shared" si="6"/>
        <v>-4.5107634293369081</v>
      </c>
      <c r="Q17" s="91"/>
      <c r="S17" s="78">
        <f>SUM(L17+Blad1!AE15)</f>
        <v>214.65187008025862</v>
      </c>
      <c r="T17" s="78"/>
    </row>
    <row r="18" spans="1:20" ht="15.75" thickBot="1" x14ac:dyDescent="0.3">
      <c r="A18" s="2" t="s">
        <v>19</v>
      </c>
      <c r="B18" s="55">
        <v>0.03</v>
      </c>
      <c r="C18" s="56">
        <f t="shared" si="1"/>
        <v>2.0134228187919458E-2</v>
      </c>
      <c r="D18" s="57"/>
      <c r="E18" s="51">
        <f>Blad1!AG16</f>
        <v>0.1019274956</v>
      </c>
      <c r="F18" s="69">
        <f t="shared" si="2"/>
        <v>7.1927495600000002E-2</v>
      </c>
      <c r="G18" s="70">
        <f t="shared" si="3"/>
        <v>6.8407715167785224E-2</v>
      </c>
      <c r="I18" s="74">
        <f t="shared" si="0"/>
        <v>-4.8273486979865762E-2</v>
      </c>
      <c r="J18" s="69">
        <f t="shared" si="4"/>
        <v>-7.1927495600000002E-2</v>
      </c>
      <c r="K18" s="64">
        <f t="shared" si="5"/>
        <v>-0.52356169188991275</v>
      </c>
      <c r="L18" s="75">
        <f>J18/Blad2!B$22</f>
        <v>-86.312994720345259</v>
      </c>
      <c r="N18" s="79">
        <f>J18/Blad2!B$3</f>
        <v>-6.0220609176155397</v>
      </c>
      <c r="O18" s="52"/>
      <c r="P18" s="52">
        <f t="shared" si="6"/>
        <v>6.0220609176155397</v>
      </c>
      <c r="S18" s="78">
        <f>SUM(L18+Blad1!AE16)</f>
        <v>-86.312994720345259</v>
      </c>
      <c r="T18" s="78"/>
    </row>
    <row r="19" spans="1:20" ht="15.75" thickBot="1" x14ac:dyDescent="0.3">
      <c r="A19" s="2" t="s">
        <v>20</v>
      </c>
      <c r="B19" s="55">
        <v>0.04</v>
      </c>
      <c r="C19" s="56">
        <f t="shared" si="1"/>
        <v>2.6845637583892613E-2</v>
      </c>
      <c r="D19" s="57"/>
      <c r="E19" s="51">
        <f>Blad1!AG17</f>
        <v>1.19206616E-2</v>
      </c>
      <c r="F19" s="69">
        <f t="shared" si="2"/>
        <v>-2.8079338400000001E-2</v>
      </c>
      <c r="G19" s="70">
        <f t="shared" si="3"/>
        <v>8.0004440268456357E-3</v>
      </c>
      <c r="I19" s="74">
        <f t="shared" si="0"/>
        <v>1.8845193557046978E-2</v>
      </c>
      <c r="J19" s="69">
        <f t="shared" si="4"/>
        <v>2.8079338400000001E-2</v>
      </c>
      <c r="K19" s="64">
        <f t="shared" si="5"/>
        <v>0.20439007082367255</v>
      </c>
      <c r="L19" s="75">
        <f>J19/Blad2!B$22</f>
        <v>33.695206080134781</v>
      </c>
      <c r="N19" s="78">
        <f>J19/Blad2!B$3</f>
        <v>2.3509158070997991</v>
      </c>
      <c r="O19" s="52"/>
      <c r="P19" s="52">
        <f t="shared" si="6"/>
        <v>-2.3509158070997991</v>
      </c>
      <c r="S19" s="78">
        <f>SUM(L19+Blad1!AE17)</f>
        <v>33.695206080134781</v>
      </c>
      <c r="T19" s="78"/>
    </row>
    <row r="20" spans="1:20" ht="15.75" thickBot="1" x14ac:dyDescent="0.3">
      <c r="A20" s="2" t="s">
        <v>21</v>
      </c>
      <c r="B20" s="55">
        <v>0.1</v>
      </c>
      <c r="C20" s="56">
        <f t="shared" si="1"/>
        <v>6.7114093959731544E-2</v>
      </c>
      <c r="D20" s="57"/>
      <c r="E20" s="51">
        <f>Blad1!AG18</f>
        <v>5.4546752400000009E-2</v>
      </c>
      <c r="F20" s="69">
        <f t="shared" si="2"/>
        <v>-4.5453247599999996E-2</v>
      </c>
      <c r="G20" s="70">
        <f t="shared" si="3"/>
        <v>3.6608558657718122E-2</v>
      </c>
      <c r="I20" s="74">
        <f t="shared" si="0"/>
        <v>3.0505535302013422E-2</v>
      </c>
      <c r="J20" s="69">
        <f t="shared" si="4"/>
        <v>4.5453247600000003E-2</v>
      </c>
      <c r="K20" s="64">
        <f t="shared" si="5"/>
        <v>0.33085510647679384</v>
      </c>
      <c r="L20" s="75">
        <f>J20/Blad2!B$22</f>
        <v>54.543897120218176</v>
      </c>
      <c r="N20" s="78">
        <f>J20/Blad2!B$3</f>
        <v>3.8055297722705963</v>
      </c>
      <c r="O20" s="52"/>
      <c r="P20" s="52">
        <f t="shared" si="6"/>
        <v>-3.8055297722705963</v>
      </c>
      <c r="S20" s="78">
        <f>SUM(L20+Blad1!AE18)</f>
        <v>54.543897120218176</v>
      </c>
      <c r="T20" s="78"/>
    </row>
    <row r="21" spans="1:20" ht="15.75" thickBot="1" x14ac:dyDescent="0.3">
      <c r="A21" s="2" t="s">
        <v>22</v>
      </c>
      <c r="B21" s="55">
        <v>0.06</v>
      </c>
      <c r="C21" s="56">
        <f t="shared" si="1"/>
        <v>4.0268456375838917E-2</v>
      </c>
      <c r="D21" s="57"/>
      <c r="E21" s="62">
        <f>Blad1!AG19</f>
        <v>1.09554948E-2</v>
      </c>
      <c r="F21" s="69">
        <f t="shared" si="2"/>
        <v>-4.9044505199999998E-2</v>
      </c>
      <c r="G21" s="70">
        <f t="shared" si="3"/>
        <v>7.3526810738255019E-3</v>
      </c>
      <c r="H21" s="63"/>
      <c r="I21" s="74">
        <f t="shared" si="0"/>
        <v>3.2915775302013416E-2</v>
      </c>
      <c r="J21" s="69">
        <f t="shared" si="4"/>
        <v>4.9044505199999998E-2</v>
      </c>
      <c r="K21" s="66">
        <f t="shared" si="5"/>
        <v>0.35699594301481036</v>
      </c>
      <c r="L21" s="75">
        <f>J21/Blad2!B$22</f>
        <v>58.853406240235408</v>
      </c>
      <c r="M21" s="63"/>
      <c r="N21" s="78">
        <f>J21/Blad2!B$3</f>
        <v>4.1062043871399867</v>
      </c>
      <c r="O21" s="52"/>
      <c r="P21" s="52">
        <f t="shared" si="6"/>
        <v>-4.1062043871399867</v>
      </c>
      <c r="S21" s="78">
        <f>SUM(L21+Blad1!AE19)</f>
        <v>78.853406240235415</v>
      </c>
      <c r="T21" s="78"/>
    </row>
    <row r="22" spans="1:20" ht="15.75" thickBot="1" x14ac:dyDescent="0.3">
      <c r="A22" s="12" t="s">
        <v>23</v>
      </c>
      <c r="B22" s="90">
        <f>SUM(B6:B21)</f>
        <v>1.4900000000000002</v>
      </c>
      <c r="C22" s="58">
        <f>SUM(C6:C21)</f>
        <v>0.99999999999999978</v>
      </c>
      <c r="D22" s="59"/>
      <c r="E22" s="53">
        <f>Blad1!AG20</f>
        <v>1.3526188724000001</v>
      </c>
      <c r="F22" s="71">
        <f>SUM(F6:F21)</f>
        <v>-0.13738112760000001</v>
      </c>
      <c r="G22" s="72">
        <f>SUM(G6:G21)</f>
        <v>0.90779790093959722</v>
      </c>
      <c r="H22" s="54"/>
      <c r="I22" s="74">
        <f>SUM(I6:I21)</f>
        <v>9.2202099060402665E-2</v>
      </c>
      <c r="J22" s="69">
        <f>SUM(J6:J21)</f>
        <v>0.13738112760000001</v>
      </c>
      <c r="K22" s="65">
        <f>SUM(K6:K21)</f>
        <v>1</v>
      </c>
      <c r="L22" s="81">
        <f>SUM(L6:L21)</f>
        <v>164.85735312065941</v>
      </c>
      <c r="N22" s="80">
        <f>SUM(N6:N21)</f>
        <v>11.502103784326859</v>
      </c>
      <c r="S22" s="79">
        <f>SUM(S6:S21)</f>
        <v>504.8573531206593</v>
      </c>
      <c r="T22" s="78"/>
    </row>
    <row r="23" spans="1:20" x14ac:dyDescent="0.25">
      <c r="J23" s="52"/>
    </row>
    <row r="24" spans="1:20" x14ac:dyDescent="0.25">
      <c r="F24" s="48" t="s">
        <v>50</v>
      </c>
      <c r="G24" s="48"/>
    </row>
  </sheetData>
  <mergeCells count="4">
    <mergeCell ref="S4:T4"/>
    <mergeCell ref="F4:G4"/>
    <mergeCell ref="I4:J4"/>
    <mergeCell ref="B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RowHeight="15" x14ac:dyDescent="0.25"/>
  <cols>
    <col min="1" max="1" width="19.5703125" customWidth="1"/>
    <col min="2" max="2" width="11.85546875" customWidth="1"/>
    <col min="3" max="3" width="7.140625" customWidth="1"/>
    <col min="4" max="4" width="7.140625" style="49" customWidth="1"/>
    <col min="5" max="17" width="13.85546875" customWidth="1"/>
    <col min="18" max="18" width="12.140625" customWidth="1"/>
    <col min="19" max="20" width="12.5703125" customWidth="1"/>
    <col min="22" max="22" width="14.85546875" hidden="1" customWidth="1"/>
    <col min="23" max="23" width="13.42578125" customWidth="1"/>
    <col min="25" max="25" width="14.85546875" customWidth="1"/>
    <col min="26" max="26" width="15.85546875" bestFit="1" customWidth="1"/>
    <col min="27" max="27" width="20.7109375" customWidth="1"/>
    <col min="29" max="32" width="16.85546875" customWidth="1"/>
    <col min="33" max="33" width="16.42578125" bestFit="1" customWidth="1"/>
    <col min="34" max="34" width="16.42578125" customWidth="1"/>
  </cols>
  <sheetData>
    <row r="1" spans="1:34" ht="15.75" thickBot="1" x14ac:dyDescent="0.3"/>
    <row r="2" spans="1:34" ht="44.45" customHeight="1" thickBot="1" x14ac:dyDescent="0.3">
      <c r="A2" s="1"/>
      <c r="B2" s="214" t="s">
        <v>70</v>
      </c>
      <c r="C2" s="215"/>
      <c r="D2" s="7"/>
      <c r="E2" s="214" t="s">
        <v>71</v>
      </c>
      <c r="F2" s="215"/>
      <c r="G2" s="214" t="s">
        <v>87</v>
      </c>
      <c r="H2" s="215"/>
      <c r="I2" s="214" t="s">
        <v>31</v>
      </c>
      <c r="J2" s="215"/>
      <c r="K2" s="225" t="s">
        <v>75</v>
      </c>
      <c r="L2" s="226"/>
      <c r="M2" s="214" t="s">
        <v>73</v>
      </c>
      <c r="N2" s="219"/>
      <c r="O2" s="214" t="s">
        <v>74</v>
      </c>
      <c r="P2" s="219"/>
      <c r="Q2" s="43" t="s">
        <v>23</v>
      </c>
      <c r="R2" s="222" t="s">
        <v>80</v>
      </c>
      <c r="S2" s="227"/>
      <c r="T2" s="223"/>
      <c r="V2" s="61" t="s">
        <v>52</v>
      </c>
      <c r="W2" s="77" t="s">
        <v>58</v>
      </c>
      <c r="X2" s="104" t="s">
        <v>81</v>
      </c>
      <c r="Y2" s="77" t="s">
        <v>61</v>
      </c>
      <c r="Z2" s="104" t="s">
        <v>84</v>
      </c>
      <c r="AA2" s="77" t="s">
        <v>85</v>
      </c>
      <c r="AC2" s="220" t="s">
        <v>67</v>
      </c>
      <c r="AD2" s="224"/>
      <c r="AE2" s="224"/>
      <c r="AF2" s="224"/>
      <c r="AG2" s="224"/>
      <c r="AH2" s="221"/>
    </row>
    <row r="3" spans="1:34" ht="35.450000000000003" customHeight="1" thickBot="1" x14ac:dyDescent="0.3">
      <c r="A3" s="2" t="s">
        <v>3</v>
      </c>
      <c r="B3" s="1" t="s">
        <v>28</v>
      </c>
      <c r="C3" s="43" t="s">
        <v>56</v>
      </c>
      <c r="D3" s="50"/>
      <c r="E3" s="3" t="s">
        <v>4</v>
      </c>
      <c r="F3" s="3" t="s">
        <v>5</v>
      </c>
      <c r="G3" s="3" t="s">
        <v>4</v>
      </c>
      <c r="H3" s="3" t="s">
        <v>5</v>
      </c>
      <c r="I3" s="3" t="s">
        <v>6</v>
      </c>
      <c r="J3" s="3" t="s">
        <v>5</v>
      </c>
      <c r="K3" s="43" t="s">
        <v>72</v>
      </c>
      <c r="L3" s="43" t="s">
        <v>28</v>
      </c>
      <c r="M3" s="3" t="s">
        <v>6</v>
      </c>
      <c r="N3" s="1" t="s">
        <v>5</v>
      </c>
      <c r="O3" s="3" t="s">
        <v>6</v>
      </c>
      <c r="P3" s="3" t="s">
        <v>5</v>
      </c>
      <c r="Q3" s="3" t="s">
        <v>5</v>
      </c>
      <c r="R3" s="101" t="s">
        <v>5</v>
      </c>
      <c r="S3" s="101" t="s">
        <v>82</v>
      </c>
      <c r="T3" s="68" t="s">
        <v>83</v>
      </c>
      <c r="U3" s="103"/>
      <c r="W3" s="47" t="s">
        <v>72</v>
      </c>
      <c r="X3" s="100">
        <v>8.3333333333000001E-4</v>
      </c>
      <c r="Y3" s="104" t="s">
        <v>62</v>
      </c>
      <c r="Z3" s="104">
        <v>1.1944E-2</v>
      </c>
      <c r="AA3" s="77" t="s">
        <v>86</v>
      </c>
      <c r="AC3" s="111" t="s">
        <v>68</v>
      </c>
      <c r="AD3" s="112" t="s">
        <v>5</v>
      </c>
      <c r="AE3" s="112" t="s">
        <v>88</v>
      </c>
      <c r="AF3" s="112" t="s">
        <v>5</v>
      </c>
      <c r="AG3" s="112" t="s">
        <v>69</v>
      </c>
      <c r="AH3" s="113" t="s">
        <v>5</v>
      </c>
    </row>
    <row r="4" spans="1:34" ht="15.75" thickBot="1" x14ac:dyDescent="0.3">
      <c r="A4" s="2" t="s">
        <v>7</v>
      </c>
      <c r="B4" s="51">
        <v>5.6932209132610503E-2</v>
      </c>
      <c r="C4" s="56">
        <v>3.7954806088407005E-2</v>
      </c>
      <c r="D4" s="57"/>
      <c r="E4" s="55"/>
      <c r="F4" s="55"/>
      <c r="G4" s="109">
        <v>3</v>
      </c>
      <c r="H4" s="109">
        <v>3.6999999999999998E-2</v>
      </c>
      <c r="I4" s="97">
        <f>SUM(J4/X$3)</f>
        <v>38.370024000153478</v>
      </c>
      <c r="J4" s="98">
        <v>3.197502E-2</v>
      </c>
      <c r="K4" s="97">
        <f>SUM(L4/X$3)</f>
        <v>26.03401344010414</v>
      </c>
      <c r="L4" s="51">
        <v>2.1695011200000003E-2</v>
      </c>
      <c r="M4" s="51"/>
      <c r="N4" s="51"/>
      <c r="O4" s="51"/>
      <c r="P4" s="51"/>
      <c r="Q4" s="51">
        <f>SUM(F4+H4+J4+L4+N4+P4)</f>
        <v>9.0670031200000001E-2</v>
      </c>
      <c r="R4" s="69">
        <f>Q4-B4</f>
        <v>3.3737822067389497E-2</v>
      </c>
      <c r="S4" s="70">
        <f>Q4/$B$19</f>
        <v>6.0446687466666676E-2</v>
      </c>
      <c r="T4" s="70">
        <f t="shared" ref="T4:T18" si="0">SUM(C4-S4)</f>
        <v>-2.2491881378259672E-2</v>
      </c>
      <c r="V4" s="64" t="e">
        <f>#REF!/#REF!</f>
        <v>#REF!</v>
      </c>
      <c r="W4" s="78"/>
      <c r="Y4" s="78"/>
      <c r="Z4" s="52"/>
      <c r="AC4" s="78">
        <f>SUM(M4+O4+W4)</f>
        <v>0</v>
      </c>
      <c r="AD4" s="78"/>
      <c r="AE4" s="78">
        <f>SUM(I4+K4)</f>
        <v>64.404037440257611</v>
      </c>
      <c r="AF4" s="78"/>
      <c r="AG4" s="78">
        <f>SUM(E4+G4+Y4)</f>
        <v>3</v>
      </c>
      <c r="AH4" s="78"/>
    </row>
    <row r="5" spans="1:34" ht="15.75" thickBot="1" x14ac:dyDescent="0.3">
      <c r="A5" s="2" t="s">
        <v>8</v>
      </c>
      <c r="B5" s="51">
        <v>2.3945736030025019E-2</v>
      </c>
      <c r="C5" s="56">
        <v>1.5963824020016681E-2</v>
      </c>
      <c r="D5" s="57"/>
      <c r="E5" s="51"/>
      <c r="F5" s="51"/>
      <c r="G5" s="51"/>
      <c r="H5" s="51"/>
      <c r="I5" s="97">
        <f t="shared" ref="I5:I18" si="1">SUM(J5/X$3)</f>
        <v>25.687452000102748</v>
      </c>
      <c r="J5" s="98">
        <v>2.1406209999999998E-2</v>
      </c>
      <c r="K5" s="97">
        <f t="shared" ref="K5:K17" si="2">SUM(L5/X$3)</f>
        <v>17.638412160070551</v>
      </c>
      <c r="L5" s="51">
        <v>1.4698676799999999E-2</v>
      </c>
      <c r="M5" s="51"/>
      <c r="N5" s="51"/>
      <c r="O5" s="51"/>
      <c r="P5" s="51"/>
      <c r="Q5" s="51">
        <f t="shared" ref="Q5:Q18" si="3">SUM(F5+H5+J5+L5+N5+P5)</f>
        <v>3.61048868E-2</v>
      </c>
      <c r="R5" s="69">
        <f t="shared" ref="R5:R18" si="4">Q5-B5</f>
        <v>1.215915076997498E-2</v>
      </c>
      <c r="S5" s="70">
        <f t="shared" ref="S5:S18" si="5">Q5/$B$19</f>
        <v>2.4069924533333335E-2</v>
      </c>
      <c r="T5" s="70">
        <f t="shared" si="0"/>
        <v>-8.1061005133166546E-3</v>
      </c>
      <c r="V5" s="64" t="e">
        <f>#REF!/#REF!</f>
        <v>#REF!</v>
      </c>
      <c r="W5" s="78"/>
      <c r="Y5" s="79"/>
      <c r="Z5" s="52"/>
      <c r="AC5" s="78">
        <f t="shared" ref="AC5:AC18" si="6">SUM(M5+O5+W5)</f>
        <v>0</v>
      </c>
      <c r="AD5" s="78"/>
      <c r="AE5" s="78">
        <f t="shared" ref="AE5:AE18" si="7">SUM(I5+K5)</f>
        <v>43.325864160173296</v>
      </c>
      <c r="AF5" s="78"/>
      <c r="AG5" s="78">
        <f t="shared" ref="AG5:AG18" si="8">SUM(E5+G5+Y5)</f>
        <v>0</v>
      </c>
      <c r="AH5" s="78"/>
    </row>
    <row r="6" spans="1:34" ht="15.75" thickBot="1" x14ac:dyDescent="0.3">
      <c r="A6" s="2" t="s">
        <v>9</v>
      </c>
      <c r="B6" s="51">
        <v>9.7982042326939106E-2</v>
      </c>
      <c r="C6" s="56">
        <v>6.5321361551292742E-2</v>
      </c>
      <c r="D6" s="57"/>
      <c r="E6" s="51"/>
      <c r="F6" s="51"/>
      <c r="G6" s="51"/>
      <c r="H6" s="51"/>
      <c r="I6" s="97">
        <f t="shared" si="1"/>
        <v>23.684130000094733</v>
      </c>
      <c r="J6" s="98">
        <v>1.9736774999999998E-2</v>
      </c>
      <c r="K6" s="97">
        <f t="shared" si="2"/>
        <v>28.803673440115215</v>
      </c>
      <c r="L6" s="51">
        <v>2.4003061200000002E-2</v>
      </c>
      <c r="M6" s="97">
        <v>30</v>
      </c>
      <c r="N6" s="51">
        <v>2.5833539999999999E-2</v>
      </c>
      <c r="O6" s="51"/>
      <c r="P6" s="51"/>
      <c r="Q6" s="51">
        <f t="shared" si="3"/>
        <v>6.9573376199999995E-2</v>
      </c>
      <c r="R6" s="69">
        <f t="shared" si="4"/>
        <v>-2.8408666126939111E-2</v>
      </c>
      <c r="S6" s="70">
        <f t="shared" si="5"/>
        <v>4.6382250800000004E-2</v>
      </c>
      <c r="T6" s="70">
        <f t="shared" si="0"/>
        <v>1.8939110751292738E-2</v>
      </c>
      <c r="V6" s="64" t="e">
        <f>#REF!/#REF!</f>
        <v>#REF!</v>
      </c>
      <c r="W6" s="78"/>
      <c r="Y6" s="78"/>
      <c r="Z6" s="52"/>
      <c r="AA6" s="91"/>
      <c r="AC6" s="78">
        <f t="shared" si="6"/>
        <v>30</v>
      </c>
      <c r="AD6" s="78"/>
      <c r="AE6" s="78">
        <f t="shared" si="7"/>
        <v>52.487803440209944</v>
      </c>
      <c r="AF6" s="78"/>
      <c r="AG6" s="78">
        <f t="shared" si="8"/>
        <v>0</v>
      </c>
      <c r="AH6" s="78"/>
    </row>
    <row r="7" spans="1:34" ht="15.75" thickBot="1" x14ac:dyDescent="0.3">
      <c r="A7" s="2" t="s">
        <v>10</v>
      </c>
      <c r="B7" s="51">
        <v>7.6900020850708933E-2</v>
      </c>
      <c r="C7" s="56">
        <v>5.1266680567139289E-2</v>
      </c>
      <c r="D7" s="57"/>
      <c r="E7" s="51"/>
      <c r="F7" s="51"/>
      <c r="G7" s="51"/>
      <c r="H7" s="51"/>
      <c r="I7" s="97">
        <f t="shared" si="1"/>
        <v>14.20934696405684</v>
      </c>
      <c r="J7" s="98">
        <v>1.1841122470000002E-2</v>
      </c>
      <c r="K7" s="97">
        <f t="shared" si="2"/>
        <v>20.25315446408101</v>
      </c>
      <c r="L7" s="51">
        <v>1.6877628719999999E-2</v>
      </c>
      <c r="M7" s="97"/>
      <c r="N7" s="51"/>
      <c r="O7" s="97">
        <v>20</v>
      </c>
      <c r="P7" s="51">
        <v>1.7222359999999999E-2</v>
      </c>
      <c r="Q7" s="51">
        <f t="shared" si="3"/>
        <v>4.5941111190000002E-2</v>
      </c>
      <c r="R7" s="69">
        <f t="shared" si="4"/>
        <v>-3.0958909660708932E-2</v>
      </c>
      <c r="S7" s="70">
        <f t="shared" si="5"/>
        <v>3.0627407460000006E-2</v>
      </c>
      <c r="T7" s="70">
        <f t="shared" si="0"/>
        <v>2.0639273107139283E-2</v>
      </c>
      <c r="V7" s="64" t="e">
        <f>#REF!/#REF!</f>
        <v>#REF!</v>
      </c>
      <c r="W7" s="78"/>
      <c r="Y7" s="78"/>
      <c r="Z7" s="52"/>
      <c r="AC7" s="78">
        <f t="shared" si="6"/>
        <v>20</v>
      </c>
      <c r="AD7" s="78"/>
      <c r="AE7" s="78">
        <f t="shared" si="7"/>
        <v>34.462501428137848</v>
      </c>
      <c r="AF7" s="78"/>
      <c r="AG7" s="78">
        <f t="shared" si="8"/>
        <v>0</v>
      </c>
      <c r="AH7" s="78"/>
    </row>
    <row r="8" spans="1:34" ht="15.75" thickBot="1" x14ac:dyDescent="0.3">
      <c r="A8" s="2" t="s">
        <v>11</v>
      </c>
      <c r="B8" s="51">
        <v>0.10030331265638032</v>
      </c>
      <c r="C8" s="56">
        <v>6.6868875104253545E-2</v>
      </c>
      <c r="D8" s="57"/>
      <c r="E8" s="51"/>
      <c r="F8" s="51"/>
      <c r="G8" s="51"/>
      <c r="H8" s="51"/>
      <c r="I8" s="97">
        <f t="shared" si="1"/>
        <v>40.790028000163169</v>
      </c>
      <c r="J8" s="98">
        <v>3.3991690000000005E-2</v>
      </c>
      <c r="K8" s="97">
        <f t="shared" si="2"/>
        <v>21.740246880086961</v>
      </c>
      <c r="L8" s="51">
        <v>1.8116872400000001E-2</v>
      </c>
      <c r="M8" s="97">
        <v>40</v>
      </c>
      <c r="N8" s="51">
        <v>3.4444719999999998E-2</v>
      </c>
      <c r="O8" s="51"/>
      <c r="P8" s="51"/>
      <c r="Q8" s="51">
        <f t="shared" si="3"/>
        <v>8.6553282400000001E-2</v>
      </c>
      <c r="R8" s="69">
        <f t="shared" si="4"/>
        <v>-1.3750030256380316E-2</v>
      </c>
      <c r="S8" s="70">
        <f t="shared" si="5"/>
        <v>5.7702188266666676E-2</v>
      </c>
      <c r="T8" s="70">
        <f t="shared" si="0"/>
        <v>9.1666868375868682E-3</v>
      </c>
      <c r="V8" s="64" t="e">
        <f>#REF!/#REF!</f>
        <v>#REF!</v>
      </c>
      <c r="W8" s="78"/>
      <c r="Y8" s="78"/>
      <c r="Z8" s="52"/>
      <c r="AC8" s="78">
        <f t="shared" si="6"/>
        <v>40</v>
      </c>
      <c r="AD8" s="78"/>
      <c r="AE8" s="78">
        <f t="shared" si="7"/>
        <v>62.530274880250133</v>
      </c>
      <c r="AF8" s="78"/>
      <c r="AG8" s="78">
        <f t="shared" si="8"/>
        <v>0</v>
      </c>
      <c r="AH8" s="78"/>
    </row>
    <row r="9" spans="1:34" ht="15.75" thickBot="1" x14ac:dyDescent="0.3">
      <c r="A9" s="2" t="s">
        <v>12</v>
      </c>
      <c r="B9" s="51">
        <v>1.6493236551292742E-2</v>
      </c>
      <c r="C9" s="56">
        <v>1.0995491034195162E-2</v>
      </c>
      <c r="D9" s="57"/>
      <c r="E9" s="51"/>
      <c r="F9" s="51"/>
      <c r="G9" s="51"/>
      <c r="H9" s="51"/>
      <c r="I9" s="97">
        <f t="shared" si="1"/>
        <v>3.0402000000121605</v>
      </c>
      <c r="J9" s="98">
        <v>2.5334999999999997E-3</v>
      </c>
      <c r="K9" s="97">
        <f t="shared" si="2"/>
        <v>5.9143843200236574</v>
      </c>
      <c r="L9" s="51">
        <v>4.9286536000000001E-3</v>
      </c>
      <c r="M9" s="97">
        <v>20</v>
      </c>
      <c r="N9" s="51">
        <v>1.7222359999999999E-2</v>
      </c>
      <c r="O9" s="51"/>
      <c r="P9" s="51"/>
      <c r="Q9" s="51">
        <f t="shared" si="3"/>
        <v>2.4684513599999999E-2</v>
      </c>
      <c r="R9" s="69">
        <f t="shared" si="4"/>
        <v>8.1912770487072573E-3</v>
      </c>
      <c r="S9" s="70">
        <f t="shared" si="5"/>
        <v>1.6456342400000001E-2</v>
      </c>
      <c r="T9" s="70">
        <f t="shared" si="0"/>
        <v>-5.4608513658048388E-3</v>
      </c>
      <c r="V9" s="64" t="e">
        <f>#REF!/#REF!</f>
        <v>#REF!</v>
      </c>
      <c r="W9" s="78"/>
      <c r="Y9" s="79"/>
      <c r="Z9" s="52"/>
      <c r="AC9" s="78">
        <f t="shared" si="6"/>
        <v>20</v>
      </c>
      <c r="AD9" s="78"/>
      <c r="AE9" s="78">
        <f t="shared" si="7"/>
        <v>8.9545843200358171</v>
      </c>
      <c r="AF9" s="78"/>
      <c r="AG9" s="78">
        <f t="shared" si="8"/>
        <v>0</v>
      </c>
      <c r="AH9" s="78"/>
    </row>
    <row r="10" spans="1:34" ht="15.75" thickBot="1" x14ac:dyDescent="0.3">
      <c r="A10" s="2" t="s">
        <v>14</v>
      </c>
      <c r="B10" s="51">
        <v>2.7488727585487906E-2</v>
      </c>
      <c r="C10" s="56">
        <v>1.8325818390325269E-2</v>
      </c>
      <c r="D10" s="57"/>
      <c r="E10" s="51"/>
      <c r="F10" s="51"/>
      <c r="G10" s="51"/>
      <c r="H10" s="51"/>
      <c r="I10" s="97">
        <f t="shared" si="1"/>
        <v>17.749314000070996</v>
      </c>
      <c r="J10" s="98">
        <v>1.4791094999999999E-2</v>
      </c>
      <c r="K10" s="97">
        <f t="shared" si="2"/>
        <v>16.67017632006668</v>
      </c>
      <c r="L10" s="51">
        <v>1.38918136E-2</v>
      </c>
      <c r="M10" s="51"/>
      <c r="N10" s="51"/>
      <c r="O10" s="51"/>
      <c r="P10" s="51"/>
      <c r="Q10" s="51">
        <f t="shared" si="3"/>
        <v>2.8682908600000001E-2</v>
      </c>
      <c r="R10" s="69">
        <f t="shared" si="4"/>
        <v>1.1941810145120954E-3</v>
      </c>
      <c r="S10" s="70">
        <f t="shared" si="5"/>
        <v>1.912193906666667E-2</v>
      </c>
      <c r="T10" s="70">
        <f t="shared" si="0"/>
        <v>-7.9612067634140041E-4</v>
      </c>
      <c r="V10" s="64" t="e">
        <f>#REF!/#REF!</f>
        <v>#REF!</v>
      </c>
      <c r="W10" s="78"/>
      <c r="Y10" s="78"/>
      <c r="Z10" s="52"/>
      <c r="AC10" s="78">
        <f t="shared" si="6"/>
        <v>0</v>
      </c>
      <c r="AD10" s="78"/>
      <c r="AE10" s="78">
        <f t="shared" si="7"/>
        <v>34.419490320137676</v>
      </c>
      <c r="AF10" s="78"/>
      <c r="AG10" s="78">
        <f t="shared" si="8"/>
        <v>0</v>
      </c>
      <c r="AH10" s="78"/>
    </row>
    <row r="11" spans="1:34" ht="15.75" thickBot="1" x14ac:dyDescent="0.3">
      <c r="A11" s="2" t="s">
        <v>15</v>
      </c>
      <c r="B11" s="51">
        <v>0.26230354722685573</v>
      </c>
      <c r="C11" s="56">
        <v>0.17486903148457048</v>
      </c>
      <c r="D11" s="57"/>
      <c r="E11" s="97">
        <v>4</v>
      </c>
      <c r="F11" s="51">
        <v>3.9E-2</v>
      </c>
      <c r="G11" s="108">
        <v>4</v>
      </c>
      <c r="H11" s="110">
        <f>SUM(G11*Z3)</f>
        <v>4.7775999999999999E-2</v>
      </c>
      <c r="I11" s="97">
        <f t="shared" si="1"/>
        <v>96.236958000384945</v>
      </c>
      <c r="J11" s="98">
        <v>8.0197464999999996E-2</v>
      </c>
      <c r="K11" s="97">
        <f t="shared" si="2"/>
        <v>90.577582560362316</v>
      </c>
      <c r="L11" s="51">
        <v>7.5481318800000002E-2</v>
      </c>
      <c r="M11" s="97">
        <v>40</v>
      </c>
      <c r="N11" s="51">
        <v>3.4444719999999998E-2</v>
      </c>
      <c r="O11" s="51"/>
      <c r="P11" s="51"/>
      <c r="Q11" s="51">
        <f t="shared" si="3"/>
        <v>0.2768995038</v>
      </c>
      <c r="R11" s="69">
        <f t="shared" si="4"/>
        <v>1.4595956573144275E-2</v>
      </c>
      <c r="S11" s="70">
        <f t="shared" si="5"/>
        <v>0.18459966920000004</v>
      </c>
      <c r="T11" s="70">
        <f t="shared" si="0"/>
        <v>-9.7306377154295631E-3</v>
      </c>
      <c r="V11" s="64" t="e">
        <f>#REF!/#REF!</f>
        <v>#REF!</v>
      </c>
      <c r="W11" s="78"/>
      <c r="X11" s="67" t="s">
        <v>60</v>
      </c>
      <c r="Y11" s="78"/>
      <c r="Z11" s="52"/>
      <c r="AC11" s="78">
        <f t="shared" si="6"/>
        <v>40</v>
      </c>
      <c r="AD11" s="78"/>
      <c r="AE11" s="78">
        <f t="shared" si="7"/>
        <v>186.81454056074728</v>
      </c>
      <c r="AF11" s="78"/>
      <c r="AG11" s="78">
        <f t="shared" si="8"/>
        <v>8</v>
      </c>
      <c r="AH11" s="78"/>
    </row>
    <row r="12" spans="1:34" ht="15.75" thickBot="1" x14ac:dyDescent="0.3">
      <c r="A12" s="2" t="s">
        <v>16</v>
      </c>
      <c r="B12" s="51">
        <v>2.2479670558799E-2</v>
      </c>
      <c r="C12" s="56">
        <v>1.4986447039199333E-2</v>
      </c>
      <c r="D12" s="57"/>
      <c r="E12" s="97"/>
      <c r="F12" s="51"/>
      <c r="G12" s="51"/>
      <c r="H12" s="110"/>
      <c r="I12" s="97">
        <f t="shared" si="1"/>
        <v>6.4838400000259355</v>
      </c>
      <c r="J12" s="98">
        <v>5.4032000000000004E-3</v>
      </c>
      <c r="K12" s="97">
        <f t="shared" si="2"/>
        <v>11.039460480044159</v>
      </c>
      <c r="L12" s="51">
        <v>9.1995504000000009E-3</v>
      </c>
      <c r="M12" s="97"/>
      <c r="N12" s="51"/>
      <c r="O12" s="51"/>
      <c r="P12" s="51"/>
      <c r="Q12" s="51">
        <f t="shared" si="3"/>
        <v>1.4602750400000001E-2</v>
      </c>
      <c r="R12" s="69">
        <f t="shared" si="4"/>
        <v>-7.8769201587989991E-3</v>
      </c>
      <c r="S12" s="70">
        <f t="shared" si="5"/>
        <v>9.7351669333333359E-3</v>
      </c>
      <c r="T12" s="70">
        <f t="shared" si="0"/>
        <v>5.2512801058659971E-3</v>
      </c>
      <c r="V12" s="64" t="e">
        <f>#REF!/#REF!</f>
        <v>#REF!</v>
      </c>
      <c r="W12" s="78"/>
      <c r="Y12" s="78"/>
      <c r="Z12" s="52"/>
      <c r="AC12" s="78">
        <f t="shared" si="6"/>
        <v>0</v>
      </c>
      <c r="AD12" s="78"/>
      <c r="AE12" s="78">
        <f t="shared" si="7"/>
        <v>17.523300480070095</v>
      </c>
      <c r="AF12" s="78"/>
      <c r="AG12" s="78">
        <f t="shared" si="8"/>
        <v>0</v>
      </c>
      <c r="AH12" s="78"/>
    </row>
    <row r="13" spans="1:34" ht="15.75" thickBot="1" x14ac:dyDescent="0.3">
      <c r="A13" s="2" t="s">
        <v>17</v>
      </c>
      <c r="B13" s="51">
        <v>0.26034879326522098</v>
      </c>
      <c r="C13" s="56">
        <v>0.173565862176814</v>
      </c>
      <c r="D13" s="57"/>
      <c r="E13" s="97">
        <v>6</v>
      </c>
      <c r="F13" s="51">
        <f>SUM(E13*Z3)</f>
        <v>7.1664000000000005E-2</v>
      </c>
      <c r="G13" s="108">
        <v>9</v>
      </c>
      <c r="H13" s="110">
        <f>SUM(G13*Z3)</f>
        <v>0.10749599999999999</v>
      </c>
      <c r="I13" s="97">
        <f t="shared" si="1"/>
        <v>56.957347200227829</v>
      </c>
      <c r="J13" s="98">
        <v>4.7464456000000002E-2</v>
      </c>
      <c r="K13" s="97">
        <f t="shared" si="2"/>
        <v>64.948948800259785</v>
      </c>
      <c r="L13" s="51">
        <v>5.4124123999999996E-2</v>
      </c>
      <c r="M13" s="97"/>
      <c r="N13" s="51"/>
      <c r="O13" s="97">
        <v>150</v>
      </c>
      <c r="P13" s="51">
        <v>0.1291677</v>
      </c>
      <c r="Q13" s="51">
        <f t="shared" si="3"/>
        <v>0.40991627999999997</v>
      </c>
      <c r="R13" s="69">
        <f t="shared" si="4"/>
        <v>0.14956748673477899</v>
      </c>
      <c r="S13" s="70">
        <f t="shared" si="5"/>
        <v>0.27327752</v>
      </c>
      <c r="T13" s="70">
        <f t="shared" si="0"/>
        <v>-9.9711657823186001E-2</v>
      </c>
      <c r="V13" s="64" t="e">
        <f>#REF!/#REF!</f>
        <v>#REF!</v>
      </c>
      <c r="W13" s="78"/>
      <c r="Y13" s="78"/>
      <c r="Z13" s="52"/>
      <c r="AA13" s="91"/>
      <c r="AC13" s="78">
        <f t="shared" si="6"/>
        <v>150</v>
      </c>
      <c r="AD13" s="78"/>
      <c r="AE13" s="78">
        <f t="shared" si="7"/>
        <v>121.90629600048761</v>
      </c>
      <c r="AF13" s="78"/>
      <c r="AG13" s="78">
        <f t="shared" si="8"/>
        <v>15</v>
      </c>
      <c r="AH13" s="78"/>
    </row>
    <row r="14" spans="1:34" ht="15.75" thickBot="1" x14ac:dyDescent="0.3">
      <c r="A14" s="2" t="s">
        <v>18</v>
      </c>
      <c r="B14" s="51">
        <v>0.32864300979983319</v>
      </c>
      <c r="C14" s="56">
        <v>0.21909533986655547</v>
      </c>
      <c r="D14" s="57"/>
      <c r="E14" s="97">
        <v>4</v>
      </c>
      <c r="F14" s="51">
        <v>4.8000000000000001E-2</v>
      </c>
      <c r="G14" s="51"/>
      <c r="H14" s="110"/>
      <c r="I14" s="97">
        <f t="shared" si="1"/>
        <v>23.968022400095872</v>
      </c>
      <c r="J14" s="98">
        <v>1.9973352E-2</v>
      </c>
      <c r="K14" s="97">
        <f t="shared" si="2"/>
        <v>70.778867520283114</v>
      </c>
      <c r="L14" s="51">
        <v>5.8982389599999997E-2</v>
      </c>
      <c r="M14" s="97"/>
      <c r="N14" s="51"/>
      <c r="O14" s="97">
        <v>150</v>
      </c>
      <c r="P14" s="51">
        <v>0.1291677</v>
      </c>
      <c r="Q14" s="51">
        <f t="shared" si="3"/>
        <v>0.2561234416</v>
      </c>
      <c r="R14" s="69">
        <f t="shared" si="4"/>
        <v>-7.2519568199833184E-2</v>
      </c>
      <c r="S14" s="70">
        <f t="shared" si="5"/>
        <v>0.1707489610666667</v>
      </c>
      <c r="T14" s="70">
        <f t="shared" si="0"/>
        <v>4.8346378799888762E-2</v>
      </c>
      <c r="V14" s="64" t="e">
        <f>#REF!/#REF!</f>
        <v>#REF!</v>
      </c>
      <c r="W14" s="78"/>
      <c r="Y14" s="78"/>
      <c r="Z14" s="52"/>
      <c r="AA14" s="91"/>
      <c r="AC14" s="78">
        <f t="shared" si="6"/>
        <v>150</v>
      </c>
      <c r="AD14" s="78"/>
      <c r="AE14" s="78">
        <f t="shared" si="7"/>
        <v>94.74688992037899</v>
      </c>
      <c r="AF14" s="78"/>
      <c r="AG14" s="78">
        <f t="shared" si="8"/>
        <v>4</v>
      </c>
      <c r="AH14" s="78"/>
    </row>
    <row r="15" spans="1:34" ht="15.75" thickBot="1" x14ac:dyDescent="0.3">
      <c r="A15" s="2" t="s">
        <v>19</v>
      </c>
      <c r="B15" s="51">
        <v>2.8466104566305252E-2</v>
      </c>
      <c r="C15" s="56">
        <v>1.8977403044203502E-2</v>
      </c>
      <c r="D15" s="57"/>
      <c r="E15" s="51"/>
      <c r="F15" s="51"/>
      <c r="G15" s="51"/>
      <c r="H15" s="51"/>
      <c r="I15" s="97">
        <f t="shared" si="1"/>
        <v>27.371784000109486</v>
      </c>
      <c r="J15" s="98">
        <v>2.2809819999999998E-2</v>
      </c>
      <c r="K15" s="97">
        <f t="shared" si="2"/>
        <v>21.201210720084802</v>
      </c>
      <c r="L15" s="51">
        <v>1.7667675599999998E-2</v>
      </c>
      <c r="M15" s="97">
        <v>75</v>
      </c>
      <c r="N15" s="51">
        <v>6.1449999999999998E-2</v>
      </c>
      <c r="O15" s="51"/>
      <c r="P15" s="51"/>
      <c r="Q15" s="51">
        <f t="shared" si="3"/>
        <v>0.1019274956</v>
      </c>
      <c r="R15" s="69">
        <f t="shared" si="4"/>
        <v>7.3461391033694756E-2</v>
      </c>
      <c r="S15" s="70">
        <f t="shared" si="5"/>
        <v>6.7951663733333348E-2</v>
      </c>
      <c r="T15" s="70">
        <f t="shared" si="0"/>
        <v>-4.8974260689129842E-2</v>
      </c>
      <c r="V15" s="64" t="e">
        <f>#REF!/#REF!</f>
        <v>#REF!</v>
      </c>
      <c r="W15" s="78"/>
      <c r="Y15" s="79"/>
      <c r="Z15" s="52"/>
      <c r="AC15" s="78">
        <f t="shared" si="6"/>
        <v>75</v>
      </c>
      <c r="AD15" s="78"/>
      <c r="AE15" s="78">
        <f t="shared" si="7"/>
        <v>48.572994720194288</v>
      </c>
      <c r="AF15" s="78"/>
      <c r="AG15" s="78">
        <f t="shared" si="8"/>
        <v>0</v>
      </c>
      <c r="AH15" s="78"/>
    </row>
    <row r="16" spans="1:34" ht="15.75" thickBot="1" x14ac:dyDescent="0.3">
      <c r="A16" s="2" t="s">
        <v>20</v>
      </c>
      <c r="B16" s="51">
        <v>3.5674259799833193E-2</v>
      </c>
      <c r="C16" s="56">
        <v>2.3782839866555463E-2</v>
      </c>
      <c r="D16" s="57"/>
      <c r="E16" s="51"/>
      <c r="F16" s="51"/>
      <c r="G16" s="51"/>
      <c r="H16" s="51"/>
      <c r="I16" s="97">
        <f t="shared" si="1"/>
        <v>3.815244000015261</v>
      </c>
      <c r="J16" s="98">
        <v>3.1793699999999999E-3</v>
      </c>
      <c r="K16" s="97">
        <f t="shared" si="2"/>
        <v>10.489549920041958</v>
      </c>
      <c r="L16" s="51">
        <v>8.7412915999999993E-3</v>
      </c>
      <c r="M16" s="51"/>
      <c r="N16" s="51"/>
      <c r="O16" s="51"/>
      <c r="P16" s="51"/>
      <c r="Q16" s="51">
        <f t="shared" si="3"/>
        <v>1.19206616E-2</v>
      </c>
      <c r="R16" s="69">
        <f t="shared" si="4"/>
        <v>-2.3753598199833192E-2</v>
      </c>
      <c r="S16" s="70">
        <f t="shared" si="5"/>
        <v>7.9471077333333352E-3</v>
      </c>
      <c r="T16" s="70">
        <f t="shared" si="0"/>
        <v>1.5835732133222126E-2</v>
      </c>
      <c r="V16" s="64" t="e">
        <f>#REF!/#REF!</f>
        <v>#REF!</v>
      </c>
      <c r="W16" s="78"/>
      <c r="Y16" s="78"/>
      <c r="Z16" s="52"/>
      <c r="AC16" s="78">
        <f t="shared" si="6"/>
        <v>0</v>
      </c>
      <c r="AD16" s="78"/>
      <c r="AE16" s="78">
        <f t="shared" si="7"/>
        <v>14.304793920057218</v>
      </c>
      <c r="AF16" s="78"/>
      <c r="AG16" s="78">
        <f t="shared" si="8"/>
        <v>0</v>
      </c>
      <c r="AH16" s="78"/>
    </row>
    <row r="17" spans="1:34" ht="15.75" thickBot="1" x14ac:dyDescent="0.3">
      <c r="A17" s="2" t="s">
        <v>21</v>
      </c>
      <c r="B17" s="51">
        <v>0.11484179524603835</v>
      </c>
      <c r="C17" s="56">
        <v>7.6561196830692235E-2</v>
      </c>
      <c r="D17" s="57"/>
      <c r="E17" s="51"/>
      <c r="F17" s="51"/>
      <c r="G17" s="51"/>
      <c r="H17" s="51"/>
      <c r="I17" s="97">
        <f t="shared" si="1"/>
        <v>30.383952000121539</v>
      </c>
      <c r="J17" s="98">
        <v>2.5319960000000002E-2</v>
      </c>
      <c r="K17" s="97">
        <f t="shared" si="2"/>
        <v>35.072150880140292</v>
      </c>
      <c r="L17" s="95">
        <v>2.9226792400000003E-2</v>
      </c>
      <c r="M17" s="51"/>
      <c r="N17" s="51"/>
      <c r="O17" s="51"/>
      <c r="P17" s="51"/>
      <c r="Q17" s="51">
        <f t="shared" si="3"/>
        <v>5.4546752400000009E-2</v>
      </c>
      <c r="R17" s="69">
        <f t="shared" si="4"/>
        <v>-6.0295042846038344E-2</v>
      </c>
      <c r="S17" s="70">
        <f t="shared" si="5"/>
        <v>3.6364501600000008E-2</v>
      </c>
      <c r="T17" s="70">
        <f t="shared" si="0"/>
        <v>4.0196695230692227E-2</v>
      </c>
      <c r="V17" s="64" t="e">
        <f>#REF!/#REF!</f>
        <v>#REF!</v>
      </c>
      <c r="W17" s="78"/>
      <c r="Y17" s="78"/>
      <c r="Z17" s="52"/>
      <c r="AC17" s="78">
        <f t="shared" si="6"/>
        <v>0</v>
      </c>
      <c r="AD17" s="78"/>
      <c r="AE17" s="78">
        <f t="shared" si="7"/>
        <v>65.456102880261824</v>
      </c>
      <c r="AF17" s="78"/>
      <c r="AG17" s="78">
        <f t="shared" si="8"/>
        <v>0</v>
      </c>
      <c r="AH17" s="78"/>
    </row>
    <row r="18" spans="1:34" ht="15.75" thickBot="1" x14ac:dyDescent="0.3">
      <c r="A18" s="2" t="s">
        <v>22</v>
      </c>
      <c r="B18" s="51">
        <v>4.7197534403669722E-2</v>
      </c>
      <c r="C18" s="56">
        <v>3.1465022935779817E-2</v>
      </c>
      <c r="D18" s="57"/>
      <c r="E18" s="51"/>
      <c r="F18" s="51"/>
      <c r="G18" s="51"/>
      <c r="H18" s="51"/>
      <c r="I18" s="97">
        <f t="shared" si="1"/>
        <v>8.7931648920351737</v>
      </c>
      <c r="J18" s="98">
        <v>7.3276374100000007E-3</v>
      </c>
      <c r="K18" s="97">
        <f>SUM(L18/X$3)</f>
        <v>11.051951712044209</v>
      </c>
      <c r="L18" s="96">
        <v>9.2099597600000006E-3</v>
      </c>
      <c r="M18" s="96"/>
      <c r="N18" s="96"/>
      <c r="O18" s="96"/>
      <c r="P18" s="96"/>
      <c r="Q18" s="51">
        <f t="shared" si="3"/>
        <v>1.6537597170000001E-2</v>
      </c>
      <c r="R18" s="69">
        <f t="shared" si="4"/>
        <v>-3.0659937233669721E-2</v>
      </c>
      <c r="S18" s="70">
        <f t="shared" si="5"/>
        <v>1.1025064780000003E-2</v>
      </c>
      <c r="T18" s="70">
        <f t="shared" si="0"/>
        <v>2.0439958155779814E-2</v>
      </c>
      <c r="U18" s="63"/>
      <c r="V18" s="66" t="e">
        <f>#REF!/#REF!</f>
        <v>#REF!</v>
      </c>
      <c r="W18" s="78"/>
      <c r="X18" s="63"/>
      <c r="Y18" s="78"/>
      <c r="Z18" s="52"/>
      <c r="AC18" s="78">
        <f t="shared" si="6"/>
        <v>0</v>
      </c>
      <c r="AD18" s="78"/>
      <c r="AE18" s="78">
        <f t="shared" si="7"/>
        <v>19.845116604079383</v>
      </c>
      <c r="AF18" s="78"/>
      <c r="AG18" s="78">
        <f t="shared" si="8"/>
        <v>0</v>
      </c>
      <c r="AH18" s="78"/>
    </row>
    <row r="19" spans="1:34" ht="15.75" thickBot="1" x14ac:dyDescent="0.3">
      <c r="A19" s="12" t="s">
        <v>23</v>
      </c>
      <c r="B19" s="90">
        <f>SUM(B4:B18)</f>
        <v>1.4999999999999998</v>
      </c>
      <c r="C19" s="58">
        <f>SUM(C4:C18)</f>
        <v>1</v>
      </c>
      <c r="D19" s="59"/>
      <c r="E19" s="99">
        <f t="shared" ref="E19:Q19" si="9">SUM(E4:E18)</f>
        <v>14</v>
      </c>
      <c r="F19" s="53">
        <f t="shared" si="9"/>
        <v>0.15866400000000003</v>
      </c>
      <c r="G19" s="99">
        <f t="shared" si="9"/>
        <v>16</v>
      </c>
      <c r="H19" s="53">
        <f t="shared" si="9"/>
        <v>0.192272</v>
      </c>
      <c r="I19" s="99">
        <f t="shared" si="9"/>
        <v>417.54080745767016</v>
      </c>
      <c r="J19" s="53">
        <f t="shared" si="9"/>
        <v>0.34795067287999992</v>
      </c>
      <c r="K19" s="99">
        <f t="shared" si="9"/>
        <v>452.21378361780887</v>
      </c>
      <c r="L19" s="53">
        <f t="shared" si="9"/>
        <v>0.37684481967999994</v>
      </c>
      <c r="M19" s="99">
        <f t="shared" si="9"/>
        <v>205</v>
      </c>
      <c r="N19" s="53">
        <f t="shared" si="9"/>
        <v>0.17339533999999998</v>
      </c>
      <c r="O19" s="99">
        <f t="shared" si="9"/>
        <v>320</v>
      </c>
      <c r="P19" s="53">
        <f t="shared" si="9"/>
        <v>0.27555775999999998</v>
      </c>
      <c r="Q19" s="53">
        <f t="shared" si="9"/>
        <v>1.5246845925600001</v>
      </c>
      <c r="R19" s="71">
        <f>SUM(B19-Q19)</f>
        <v>-2.4684592560000329E-2</v>
      </c>
      <c r="S19" s="72">
        <f>SUM(S4:S18)</f>
        <v>1.0164563950400003</v>
      </c>
      <c r="T19" s="102">
        <f>SUM(T4:T18)</f>
        <v>-1.6456395040000148E-2</v>
      </c>
      <c r="U19" s="54"/>
      <c r="V19" s="65" t="e">
        <f>SUM(V4:V18)</f>
        <v>#REF!</v>
      </c>
      <c r="W19" s="106">
        <f>SUM(R19/X3)</f>
        <v>-29.621511072118881</v>
      </c>
      <c r="Y19" s="105">
        <f>SUM(R19/Z3)</f>
        <v>-2.0666939517749774</v>
      </c>
      <c r="AC19" s="107">
        <f>SUM(AC4:AC18)</f>
        <v>525</v>
      </c>
      <c r="AD19" s="115">
        <f>SUM(AC19*X3)</f>
        <v>0.43749999999825001</v>
      </c>
      <c r="AE19" s="107">
        <f>SUM(AE4:AE18)</f>
        <v>869.75459107547908</v>
      </c>
      <c r="AF19" s="115">
        <f>SUM(AE19*X3)</f>
        <v>0.72479549256000009</v>
      </c>
      <c r="AG19" s="107">
        <f>SUM(AG4:AG18)</f>
        <v>30</v>
      </c>
      <c r="AH19" s="114">
        <f>SUM(AG19*Z3)</f>
        <v>0.35831999999999997</v>
      </c>
    </row>
    <row r="21" spans="1:34" x14ac:dyDescent="0.25">
      <c r="R21" s="48"/>
      <c r="S21" s="48"/>
      <c r="T21" s="48"/>
    </row>
  </sheetData>
  <mergeCells count="9">
    <mergeCell ref="AC2:AH2"/>
    <mergeCell ref="E2:F2"/>
    <mergeCell ref="I2:J2"/>
    <mergeCell ref="K2:L2"/>
    <mergeCell ref="B2:C2"/>
    <mergeCell ref="M2:N2"/>
    <mergeCell ref="O2:P2"/>
    <mergeCell ref="R2:T2"/>
    <mergeCell ref="G2:H2"/>
  </mergeCells>
  <conditionalFormatting sqref="T4:T18">
    <cfRule type="cellIs" dxfId="3" priority="2" operator="lessThan">
      <formula>0</formula>
    </cfRule>
  </conditionalFormatting>
  <conditionalFormatting sqref="T6:T18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A2" zoomScaleNormal="100" workbookViewId="0">
      <pane xSplit="3" ySplit="3" topLeftCell="D5" activePane="bottomRight" state="frozen"/>
      <selection activeCell="A2" sqref="A2"/>
      <selection pane="topRight" activeCell="D2" sqref="D2"/>
      <selection pane="bottomLeft" activeCell="A5" sqref="A5"/>
      <selection pane="bottomRight" activeCell="A2" sqref="A1:XFD1048576"/>
    </sheetView>
  </sheetViews>
  <sheetFormatPr defaultRowHeight="15" x14ac:dyDescent="0.25"/>
  <cols>
    <col min="1" max="1" width="19.5703125" style="244" customWidth="1"/>
    <col min="2" max="2" width="11.85546875" style="244" customWidth="1"/>
    <col min="3" max="3" width="9.42578125" style="244" customWidth="1"/>
    <col min="4" max="7" width="13.85546875" style="244" customWidth="1"/>
    <col min="8" max="8" width="10.5703125" style="244" customWidth="1"/>
    <col min="9" max="9" width="14.7109375" style="244" bestFit="1" customWidth="1"/>
    <col min="10" max="10" width="11.140625" style="244" customWidth="1"/>
    <col min="11" max="11" width="14.7109375" style="244" bestFit="1" customWidth="1"/>
    <col min="12" max="12" width="10.85546875" style="244" customWidth="1"/>
    <col min="13" max="13" width="13.85546875" style="244" customWidth="1"/>
    <col min="14" max="14" width="11.5703125" style="244" customWidth="1"/>
    <col min="15" max="15" width="13.85546875" style="244" customWidth="1"/>
    <col min="16" max="16" width="3.140625" style="244" customWidth="1"/>
    <col min="17" max="17" width="13.85546875" style="244" customWidth="1"/>
    <col min="18" max="18" width="13.28515625" style="244" customWidth="1"/>
    <col min="19" max="20" width="13.5703125" style="244" customWidth="1"/>
    <col min="21" max="21" width="9.140625" style="244"/>
    <col min="22" max="22" width="14.85546875" style="244" hidden="1" customWidth="1"/>
    <col min="23" max="23" width="13.42578125" style="244" customWidth="1"/>
    <col min="24" max="24" width="9.140625" style="244"/>
    <col min="25" max="25" width="14.85546875" style="244" customWidth="1"/>
    <col min="26" max="26" width="15.85546875" style="244" bestFit="1" customWidth="1"/>
    <col min="27" max="27" width="9.140625" style="244"/>
    <col min="28" max="31" width="16.85546875" style="244" customWidth="1"/>
    <col min="32" max="32" width="16.42578125" style="244" bestFit="1" customWidth="1"/>
    <col min="33" max="33" width="16.42578125" style="244" customWidth="1"/>
    <col min="34" max="16384" width="9.140625" style="244"/>
  </cols>
  <sheetData>
    <row r="1" spans="1:34" ht="21" x14ac:dyDescent="0.35">
      <c r="A1" s="243" t="s">
        <v>89</v>
      </c>
      <c r="T1" s="245"/>
    </row>
    <row r="2" spans="1:34" ht="15.75" thickBot="1" x14ac:dyDescent="0.3">
      <c r="T2" s="245"/>
    </row>
    <row r="3" spans="1:34" ht="16.5" thickTop="1" thickBot="1" x14ac:dyDescent="0.3">
      <c r="D3" s="246" t="s">
        <v>95</v>
      </c>
      <c r="E3" s="247"/>
      <c r="F3" s="247"/>
      <c r="G3" s="248"/>
      <c r="H3" s="249" t="s">
        <v>96</v>
      </c>
      <c r="I3" s="250"/>
      <c r="J3" s="250"/>
      <c r="K3" s="251"/>
      <c r="L3" s="250" t="s">
        <v>97</v>
      </c>
      <c r="M3" s="250"/>
      <c r="N3" s="250"/>
      <c r="O3" s="251"/>
      <c r="P3" s="252"/>
      <c r="Q3" s="253" t="s">
        <v>106</v>
      </c>
      <c r="R3" s="254"/>
      <c r="S3" s="255"/>
      <c r="T3" s="245"/>
    </row>
    <row r="4" spans="1:34" ht="44.45" customHeight="1" thickBot="1" x14ac:dyDescent="0.3">
      <c r="A4" s="256"/>
      <c r="B4" s="257" t="s">
        <v>70</v>
      </c>
      <c r="C4" s="258"/>
      <c r="D4" s="259" t="s">
        <v>99</v>
      </c>
      <c r="E4" s="260"/>
      <c r="F4" s="261" t="s">
        <v>98</v>
      </c>
      <c r="G4" s="262"/>
      <c r="H4" s="259" t="s">
        <v>100</v>
      </c>
      <c r="I4" s="260"/>
      <c r="J4" s="263" t="s">
        <v>102</v>
      </c>
      <c r="K4" s="264"/>
      <c r="L4" s="265" t="s">
        <v>107</v>
      </c>
      <c r="M4" s="265"/>
      <c r="N4" s="261" t="s">
        <v>101</v>
      </c>
      <c r="O4" s="265"/>
      <c r="P4" s="266"/>
      <c r="Q4" s="267" t="s">
        <v>103</v>
      </c>
      <c r="R4" s="268" t="s">
        <v>104</v>
      </c>
      <c r="S4" s="269"/>
      <c r="T4" s="270"/>
      <c r="V4" s="271" t="s">
        <v>52</v>
      </c>
      <c r="W4" s="272" t="s">
        <v>58</v>
      </c>
      <c r="X4" s="273" t="s">
        <v>81</v>
      </c>
      <c r="Y4" s="272" t="s">
        <v>61</v>
      </c>
      <c r="Z4" s="273" t="s">
        <v>84</v>
      </c>
      <c r="AB4" s="274" t="s">
        <v>90</v>
      </c>
      <c r="AC4" s="275"/>
      <c r="AD4" s="275"/>
      <c r="AE4" s="275"/>
      <c r="AF4" s="275"/>
      <c r="AG4" s="276"/>
    </row>
    <row r="5" spans="1:34" ht="42.6" customHeight="1" thickBot="1" x14ac:dyDescent="0.3">
      <c r="A5" s="277" t="s">
        <v>92</v>
      </c>
      <c r="B5" s="132" t="s">
        <v>28</v>
      </c>
      <c r="C5" s="278" t="s">
        <v>56</v>
      </c>
      <c r="D5" s="279" t="s">
        <v>4</v>
      </c>
      <c r="E5" s="280" t="s">
        <v>5</v>
      </c>
      <c r="F5" s="280" t="s">
        <v>4</v>
      </c>
      <c r="G5" s="281" t="s">
        <v>5</v>
      </c>
      <c r="H5" s="279" t="s">
        <v>6</v>
      </c>
      <c r="I5" s="280" t="s">
        <v>5</v>
      </c>
      <c r="J5" s="132" t="s">
        <v>72</v>
      </c>
      <c r="K5" s="282" t="s">
        <v>28</v>
      </c>
      <c r="L5" s="280" t="s">
        <v>6</v>
      </c>
      <c r="M5" s="132" t="s">
        <v>5</v>
      </c>
      <c r="N5" s="280" t="s">
        <v>6</v>
      </c>
      <c r="O5" s="283" t="s">
        <v>5</v>
      </c>
      <c r="P5" s="266"/>
      <c r="Q5" s="279" t="s">
        <v>5</v>
      </c>
      <c r="R5" s="131" t="s">
        <v>105</v>
      </c>
      <c r="S5" s="132" t="s">
        <v>108</v>
      </c>
      <c r="T5" s="139"/>
      <c r="U5" s="141"/>
      <c r="V5" s="284"/>
      <c r="W5" s="285" t="s">
        <v>72</v>
      </c>
      <c r="X5" s="286">
        <v>8.3333333333000001E-4</v>
      </c>
      <c r="Y5" s="287" t="s">
        <v>62</v>
      </c>
      <c r="Z5" s="287">
        <v>1.1944E-2</v>
      </c>
      <c r="AA5" s="284"/>
      <c r="AB5" s="288" t="s">
        <v>68</v>
      </c>
      <c r="AC5" s="289" t="s">
        <v>5</v>
      </c>
      <c r="AD5" s="289" t="s">
        <v>88</v>
      </c>
      <c r="AE5" s="289" t="s">
        <v>5</v>
      </c>
      <c r="AF5" s="289" t="s">
        <v>69</v>
      </c>
      <c r="AG5" s="123" t="s">
        <v>5</v>
      </c>
      <c r="AH5" s="284"/>
    </row>
    <row r="6" spans="1:34" ht="15.75" thickBot="1" x14ac:dyDescent="0.3">
      <c r="A6" s="277" t="s">
        <v>7</v>
      </c>
      <c r="B6" s="290">
        <v>5.6933952705234284E-2</v>
      </c>
      <c r="C6" s="291">
        <v>3.7954806088407005E-2</v>
      </c>
      <c r="D6" s="292"/>
      <c r="E6" s="293"/>
      <c r="F6" s="294">
        <v>3</v>
      </c>
      <c r="G6" s="295">
        <f>SUM(F6*$Z$5)</f>
        <v>3.5832000000000003E-2</v>
      </c>
      <c r="H6" s="296">
        <f t="shared" ref="H6:H20" si="0">SUM(I6/X$5)</f>
        <v>19.185012000076739</v>
      </c>
      <c r="I6" s="293">
        <f>SUM('opgave en invulling'!J4*0.5)</f>
        <v>1.598751E-2</v>
      </c>
      <c r="J6" s="297">
        <f t="shared" ref="J6:J20" si="1">SUM(K6/X$5)</f>
        <v>26.03401344010414</v>
      </c>
      <c r="K6" s="298">
        <v>2.1695011200000003E-2</v>
      </c>
      <c r="L6" s="297"/>
      <c r="M6" s="290">
        <f t="shared" ref="M6:M20" si="2">SUM(L6*X$5)</f>
        <v>0</v>
      </c>
      <c r="N6" s="297"/>
      <c r="O6" s="299">
        <f t="shared" ref="O6:O20" si="3">SUM(N6*X$5)</f>
        <v>0</v>
      </c>
      <c r="P6" s="300"/>
      <c r="Q6" s="301">
        <f t="shared" ref="Q6:Q20" si="4">SUM(E6+G6+I6+K6+M6+O6)</f>
        <v>7.3514521200000002E-2</v>
      </c>
      <c r="R6" s="302">
        <f t="shared" ref="R6:R20" si="5">Q6-B6</f>
        <v>1.6580568494765718E-2</v>
      </c>
      <c r="S6" s="303">
        <f>Q6/$B$21</f>
        <v>4.9009680800000004E-2</v>
      </c>
      <c r="T6" s="304"/>
      <c r="V6" s="305" t="e">
        <f>#REF!/#REF!</f>
        <v>#REF!</v>
      </c>
      <c r="W6" s="306"/>
      <c r="Y6" s="306"/>
      <c r="Z6" s="307"/>
      <c r="AB6" s="306">
        <f t="shared" ref="AB6:AB20" si="6">SUM(L6+N6+W6)</f>
        <v>0</v>
      </c>
      <c r="AC6" s="306"/>
      <c r="AD6" s="306">
        <f t="shared" ref="AD6:AD20" si="7">SUM(H6+J6)</f>
        <v>45.219025440180879</v>
      </c>
      <c r="AE6" s="306"/>
      <c r="AF6" s="306">
        <f t="shared" ref="AF6:AF20" si="8">SUM(D6+F6+Y6)</f>
        <v>3</v>
      </c>
      <c r="AG6" s="306"/>
    </row>
    <row r="7" spans="1:34" ht="15.75" thickBot="1" x14ac:dyDescent="0.3">
      <c r="A7" s="277" t="s">
        <v>8</v>
      </c>
      <c r="B7" s="290">
        <v>2.3946469378167207E-2</v>
      </c>
      <c r="C7" s="291">
        <v>1.5963824020016681E-2</v>
      </c>
      <c r="D7" s="308"/>
      <c r="E7" s="290"/>
      <c r="F7" s="309"/>
      <c r="G7" s="295"/>
      <c r="H7" s="296">
        <f t="shared" si="0"/>
        <v>12.843726000051374</v>
      </c>
      <c r="I7" s="293">
        <f>SUM('opgave en invulling'!J5*0.5)</f>
        <v>1.0703104999999999E-2</v>
      </c>
      <c r="J7" s="297">
        <f t="shared" si="1"/>
        <v>17.638412160070551</v>
      </c>
      <c r="K7" s="298">
        <v>1.4698676799999999E-2</v>
      </c>
      <c r="L7" s="297"/>
      <c r="M7" s="290">
        <f t="shared" si="2"/>
        <v>0</v>
      </c>
      <c r="N7" s="297"/>
      <c r="O7" s="299">
        <f t="shared" si="3"/>
        <v>0</v>
      </c>
      <c r="P7" s="300"/>
      <c r="Q7" s="301">
        <f t="shared" si="4"/>
        <v>2.5401781799999999E-2</v>
      </c>
      <c r="R7" s="302">
        <f t="shared" si="5"/>
        <v>1.4553124218327912E-3</v>
      </c>
      <c r="S7" s="303">
        <f t="shared" ref="S7:S20" si="9">Q7/$B$21</f>
        <v>1.69345212E-2</v>
      </c>
      <c r="T7" s="304"/>
      <c r="V7" s="305" t="e">
        <f>#REF!/#REF!</f>
        <v>#REF!</v>
      </c>
      <c r="W7" s="306"/>
      <c r="Y7" s="310"/>
      <c r="Z7" s="307"/>
      <c r="AB7" s="306">
        <f t="shared" si="6"/>
        <v>0</v>
      </c>
      <c r="AC7" s="306"/>
      <c r="AD7" s="306">
        <f t="shared" si="7"/>
        <v>30.482138160121927</v>
      </c>
      <c r="AE7" s="306"/>
      <c r="AF7" s="306">
        <f t="shared" si="8"/>
        <v>0</v>
      </c>
      <c r="AG7" s="306"/>
    </row>
    <row r="8" spans="1:34" ht="15.75" thickBot="1" x14ac:dyDescent="0.3">
      <c r="A8" s="277" t="s">
        <v>9</v>
      </c>
      <c r="B8" s="290">
        <v>9.7985043067806643E-2</v>
      </c>
      <c r="C8" s="291">
        <v>6.5321361551292742E-2</v>
      </c>
      <c r="D8" s="308"/>
      <c r="E8" s="290"/>
      <c r="F8" s="309"/>
      <c r="G8" s="295"/>
      <c r="H8" s="296">
        <f t="shared" si="0"/>
        <v>11.842065000047366</v>
      </c>
      <c r="I8" s="293">
        <f>SUM('opgave en invulling'!J6*0.5)</f>
        <v>9.868387499999999E-3</v>
      </c>
      <c r="J8" s="297">
        <f t="shared" si="1"/>
        <v>28.803673440115215</v>
      </c>
      <c r="K8" s="298">
        <v>2.4003061200000002E-2</v>
      </c>
      <c r="L8" s="297">
        <v>0</v>
      </c>
      <c r="M8" s="290">
        <f t="shared" si="2"/>
        <v>0</v>
      </c>
      <c r="N8" s="297"/>
      <c r="O8" s="299">
        <f t="shared" si="3"/>
        <v>0</v>
      </c>
      <c r="P8" s="300"/>
      <c r="Q8" s="301">
        <f t="shared" si="4"/>
        <v>3.3871448700000001E-2</v>
      </c>
      <c r="R8" s="302">
        <f t="shared" si="5"/>
        <v>-6.4113594367806642E-2</v>
      </c>
      <c r="S8" s="303">
        <f t="shared" si="9"/>
        <v>2.2580965800000002E-2</v>
      </c>
      <c r="T8" s="304"/>
      <c r="V8" s="305" t="e">
        <f>#REF!/#REF!</f>
        <v>#REF!</v>
      </c>
      <c r="W8" s="306"/>
      <c r="Y8" s="306"/>
      <c r="Z8" s="307"/>
      <c r="AB8" s="306">
        <f t="shared" si="6"/>
        <v>0</v>
      </c>
      <c r="AC8" s="306"/>
      <c r="AD8" s="306">
        <f t="shared" si="7"/>
        <v>40.645738440162582</v>
      </c>
      <c r="AE8" s="306"/>
      <c r="AF8" s="306">
        <f t="shared" si="8"/>
        <v>0</v>
      </c>
      <c r="AG8" s="306"/>
    </row>
    <row r="9" spans="1:34" ht="15.75" thickBot="1" x14ac:dyDescent="0.3">
      <c r="A9" s="277" t="s">
        <v>10</v>
      </c>
      <c r="B9" s="290">
        <v>7.6994252195744642E-2</v>
      </c>
      <c r="C9" s="291">
        <v>5.1266680567139289E-2</v>
      </c>
      <c r="D9" s="308"/>
      <c r="E9" s="290"/>
      <c r="F9" s="309"/>
      <c r="G9" s="295"/>
      <c r="H9" s="296">
        <f t="shared" si="0"/>
        <v>7.1046734820284199</v>
      </c>
      <c r="I9" s="293">
        <f>SUM('opgave en invulling'!J7*0.5)</f>
        <v>5.9205612350000008E-3</v>
      </c>
      <c r="J9" s="297">
        <f t="shared" si="1"/>
        <v>20.25315446408101</v>
      </c>
      <c r="K9" s="298">
        <v>1.6877628719999999E-2</v>
      </c>
      <c r="L9" s="297">
        <v>20</v>
      </c>
      <c r="M9" s="290">
        <f t="shared" si="2"/>
        <v>1.6666666666600001E-2</v>
      </c>
      <c r="N9" s="297"/>
      <c r="O9" s="299">
        <f t="shared" si="3"/>
        <v>0</v>
      </c>
      <c r="P9" s="300"/>
      <c r="Q9" s="301">
        <f t="shared" si="4"/>
        <v>3.94648566216E-2</v>
      </c>
      <c r="R9" s="302">
        <f t="shared" si="5"/>
        <v>-3.7529395574144642E-2</v>
      </c>
      <c r="S9" s="303">
        <f t="shared" si="9"/>
        <v>2.6309904414399999E-2</v>
      </c>
      <c r="T9" s="304"/>
      <c r="V9" s="305" t="e">
        <f>#REF!/#REF!</f>
        <v>#REF!</v>
      </c>
      <c r="W9" s="306"/>
      <c r="Y9" s="306"/>
      <c r="Z9" s="307"/>
      <c r="AB9" s="306">
        <f t="shared" si="6"/>
        <v>20</v>
      </c>
      <c r="AC9" s="306"/>
      <c r="AD9" s="306">
        <f t="shared" si="7"/>
        <v>27.357827946109431</v>
      </c>
      <c r="AE9" s="306"/>
      <c r="AF9" s="306">
        <f t="shared" si="8"/>
        <v>0</v>
      </c>
      <c r="AG9" s="306"/>
    </row>
    <row r="10" spans="1:34" ht="15.75" thickBot="1" x14ac:dyDescent="0.3">
      <c r="A10" s="277" t="s">
        <v>11</v>
      </c>
      <c r="B10" s="290">
        <v>0.10030638448711876</v>
      </c>
      <c r="C10" s="291">
        <v>6.6868875104253545E-2</v>
      </c>
      <c r="D10" s="308"/>
      <c r="E10" s="290"/>
      <c r="F10" s="309"/>
      <c r="G10" s="295"/>
      <c r="H10" s="296">
        <f t="shared" si="0"/>
        <v>20.395014000081584</v>
      </c>
      <c r="I10" s="293">
        <f>SUM('opgave en invulling'!J8*0.5)</f>
        <v>1.6995845000000002E-2</v>
      </c>
      <c r="J10" s="297">
        <f t="shared" si="1"/>
        <v>21.740246880086961</v>
      </c>
      <c r="K10" s="298">
        <v>1.8116872400000001E-2</v>
      </c>
      <c r="L10" s="297">
        <v>40</v>
      </c>
      <c r="M10" s="290">
        <f t="shared" si="2"/>
        <v>3.3333333333200002E-2</v>
      </c>
      <c r="N10" s="297"/>
      <c r="O10" s="299">
        <f t="shared" si="3"/>
        <v>0</v>
      </c>
      <c r="P10" s="300"/>
      <c r="Q10" s="301">
        <f t="shared" si="4"/>
        <v>6.8446050733200009E-2</v>
      </c>
      <c r="R10" s="302">
        <f t="shared" si="5"/>
        <v>-3.1860333753918751E-2</v>
      </c>
      <c r="S10" s="303">
        <f t="shared" si="9"/>
        <v>4.5630700488800004E-2</v>
      </c>
      <c r="T10" s="304"/>
      <c r="V10" s="305" t="e">
        <f>#REF!/#REF!</f>
        <v>#REF!</v>
      </c>
      <c r="W10" s="306"/>
      <c r="Y10" s="306"/>
      <c r="Z10" s="307"/>
      <c r="AB10" s="306">
        <f t="shared" si="6"/>
        <v>40</v>
      </c>
      <c r="AC10" s="306"/>
      <c r="AD10" s="306">
        <f t="shared" si="7"/>
        <v>42.135260880168545</v>
      </c>
      <c r="AE10" s="306"/>
      <c r="AF10" s="306">
        <f t="shared" si="8"/>
        <v>0</v>
      </c>
      <c r="AG10" s="306"/>
    </row>
    <row r="11" spans="1:34" ht="15.75" thickBot="1" x14ac:dyDescent="0.3">
      <c r="A11" s="277" t="s">
        <v>12</v>
      </c>
      <c r="B11" s="290">
        <v>1.6493741663533536E-2</v>
      </c>
      <c r="C11" s="291">
        <v>1.0995491034195162E-2</v>
      </c>
      <c r="D11" s="308"/>
      <c r="E11" s="290"/>
      <c r="F11" s="309"/>
      <c r="G11" s="295"/>
      <c r="H11" s="296">
        <f t="shared" si="0"/>
        <v>1.5201000000060803</v>
      </c>
      <c r="I11" s="293">
        <f>SUM('opgave en invulling'!J9*0.5)</f>
        <v>1.2667499999999999E-3</v>
      </c>
      <c r="J11" s="297">
        <f t="shared" si="1"/>
        <v>5.9143843200236574</v>
      </c>
      <c r="K11" s="298">
        <v>4.9286536000000001E-3</v>
      </c>
      <c r="L11" s="297">
        <v>20</v>
      </c>
      <c r="M11" s="290">
        <f t="shared" si="2"/>
        <v>1.6666666666600001E-2</v>
      </c>
      <c r="N11" s="297"/>
      <c r="O11" s="299">
        <f t="shared" si="3"/>
        <v>0</v>
      </c>
      <c r="P11" s="300"/>
      <c r="Q11" s="301">
        <f t="shared" si="4"/>
        <v>2.2862070266600001E-2</v>
      </c>
      <c r="R11" s="302">
        <f t="shared" si="5"/>
        <v>6.3683286030664643E-3</v>
      </c>
      <c r="S11" s="303">
        <f t="shared" si="9"/>
        <v>1.5241380177733334E-2</v>
      </c>
      <c r="T11" s="304"/>
      <c r="V11" s="305" t="e">
        <f>#REF!/#REF!</f>
        <v>#REF!</v>
      </c>
      <c r="W11" s="306"/>
      <c r="Y11" s="310"/>
      <c r="Z11" s="307"/>
      <c r="AB11" s="306">
        <f t="shared" si="6"/>
        <v>20</v>
      </c>
      <c r="AC11" s="306"/>
      <c r="AD11" s="306">
        <f t="shared" si="7"/>
        <v>7.4344843200297372</v>
      </c>
      <c r="AE11" s="306"/>
      <c r="AF11" s="306">
        <f t="shared" si="8"/>
        <v>0</v>
      </c>
      <c r="AG11" s="306"/>
    </row>
    <row r="12" spans="1:34" ht="15.75" thickBot="1" x14ac:dyDescent="0.3">
      <c r="A12" s="277" t="s">
        <v>14</v>
      </c>
      <c r="B12" s="290">
        <v>2.748956943922256E-2</v>
      </c>
      <c r="C12" s="291">
        <v>1.8325818390325269E-2</v>
      </c>
      <c r="D12" s="308"/>
      <c r="E12" s="290"/>
      <c r="F12" s="309"/>
      <c r="G12" s="295"/>
      <c r="H12" s="296">
        <f t="shared" si="0"/>
        <v>8.8746570000354978</v>
      </c>
      <c r="I12" s="293">
        <f>SUM('opgave en invulling'!J10*0.5)</f>
        <v>7.3955474999999994E-3</v>
      </c>
      <c r="J12" s="297">
        <f t="shared" si="1"/>
        <v>16.67017632006668</v>
      </c>
      <c r="K12" s="298">
        <v>1.38918136E-2</v>
      </c>
      <c r="L12" s="297"/>
      <c r="M12" s="290">
        <f t="shared" si="2"/>
        <v>0</v>
      </c>
      <c r="N12" s="297"/>
      <c r="O12" s="299">
        <f t="shared" si="3"/>
        <v>0</v>
      </c>
      <c r="P12" s="300"/>
      <c r="Q12" s="301">
        <f t="shared" si="4"/>
        <v>2.1287361099999999E-2</v>
      </c>
      <c r="R12" s="302">
        <f t="shared" si="5"/>
        <v>-6.2022083392225605E-3</v>
      </c>
      <c r="S12" s="303">
        <f t="shared" si="9"/>
        <v>1.4191574066666665E-2</v>
      </c>
      <c r="T12" s="304"/>
      <c r="V12" s="305" t="e">
        <f>#REF!/#REF!</f>
        <v>#REF!</v>
      </c>
      <c r="W12" s="306"/>
      <c r="Y12" s="306"/>
      <c r="Z12" s="307"/>
      <c r="AB12" s="306">
        <f t="shared" si="6"/>
        <v>0</v>
      </c>
      <c r="AC12" s="306"/>
      <c r="AD12" s="306">
        <f t="shared" si="7"/>
        <v>25.544833320102178</v>
      </c>
      <c r="AE12" s="306"/>
      <c r="AF12" s="306">
        <f t="shared" si="8"/>
        <v>0</v>
      </c>
      <c r="AG12" s="306"/>
    </row>
    <row r="13" spans="1:34" ht="15.75" thickBot="1" x14ac:dyDescent="0.3">
      <c r="A13" s="277" t="s">
        <v>91</v>
      </c>
      <c r="B13" s="290">
        <v>0.26231158038227043</v>
      </c>
      <c r="C13" s="291">
        <v>0.17486903148457048</v>
      </c>
      <c r="D13" s="311">
        <v>4</v>
      </c>
      <c r="E13" s="293">
        <v>3.9E-2</v>
      </c>
      <c r="F13" s="312"/>
      <c r="G13" s="295">
        <f>SUM(F13*$Z$5)</f>
        <v>0</v>
      </c>
      <c r="H13" s="296">
        <f t="shared" si="0"/>
        <v>48.118479000192472</v>
      </c>
      <c r="I13" s="293">
        <f>SUM('opgave en invulling'!J11*0.5)</f>
        <v>4.0098732499999998E-2</v>
      </c>
      <c r="J13" s="297">
        <f t="shared" si="1"/>
        <v>90.577582560362316</v>
      </c>
      <c r="K13" s="298">
        <v>7.5481318800000002E-2</v>
      </c>
      <c r="L13" s="297"/>
      <c r="M13" s="290">
        <f t="shared" si="2"/>
        <v>0</v>
      </c>
      <c r="N13" s="297"/>
      <c r="O13" s="299">
        <f t="shared" si="3"/>
        <v>0</v>
      </c>
      <c r="P13" s="300"/>
      <c r="Q13" s="301">
        <f t="shared" si="4"/>
        <v>0.15458005129999999</v>
      </c>
      <c r="R13" s="302">
        <f t="shared" si="5"/>
        <v>-0.10773152908227043</v>
      </c>
      <c r="S13" s="303">
        <f t="shared" si="9"/>
        <v>0.10305336753333333</v>
      </c>
      <c r="T13" s="304"/>
      <c r="V13" s="305" t="e">
        <f>#REF!/#REF!</f>
        <v>#REF!</v>
      </c>
      <c r="W13" s="306"/>
      <c r="X13" s="313" t="s">
        <v>60</v>
      </c>
      <c r="Y13" s="306"/>
      <c r="Z13" s="307"/>
      <c r="AB13" s="306">
        <f t="shared" si="6"/>
        <v>0</v>
      </c>
      <c r="AC13" s="306"/>
      <c r="AD13" s="306">
        <f t="shared" si="7"/>
        <v>138.6960615605548</v>
      </c>
      <c r="AE13" s="306"/>
      <c r="AF13" s="306">
        <f t="shared" si="8"/>
        <v>4</v>
      </c>
      <c r="AG13" s="306"/>
    </row>
    <row r="14" spans="1:34" ht="15.75" thickBot="1" x14ac:dyDescent="0.3">
      <c r="A14" s="277" t="s">
        <v>16</v>
      </c>
      <c r="B14" s="290">
        <v>2.2480359008075337E-2</v>
      </c>
      <c r="C14" s="291">
        <v>1.4986447039199333E-2</v>
      </c>
      <c r="D14" s="311"/>
      <c r="E14" s="290"/>
      <c r="F14" s="309"/>
      <c r="G14" s="295"/>
      <c r="H14" s="296">
        <f t="shared" si="0"/>
        <v>3.2419200000129678</v>
      </c>
      <c r="I14" s="293">
        <f>SUM('opgave en invulling'!J12*0.5)</f>
        <v>2.7016000000000002E-3</v>
      </c>
      <c r="J14" s="297">
        <f t="shared" si="1"/>
        <v>11.039460480044159</v>
      </c>
      <c r="K14" s="298">
        <v>9.1995504000000009E-3</v>
      </c>
      <c r="L14" s="297">
        <v>40</v>
      </c>
      <c r="M14" s="290">
        <f t="shared" si="2"/>
        <v>3.3333333333200002E-2</v>
      </c>
      <c r="N14" s="297"/>
      <c r="O14" s="299">
        <f t="shared" si="3"/>
        <v>0</v>
      </c>
      <c r="P14" s="300"/>
      <c r="Q14" s="301">
        <f t="shared" si="4"/>
        <v>4.5234483733200007E-2</v>
      </c>
      <c r="R14" s="302">
        <f t="shared" si="5"/>
        <v>2.2754124725124669E-2</v>
      </c>
      <c r="S14" s="303">
        <f t="shared" si="9"/>
        <v>3.0156322488800003E-2</v>
      </c>
      <c r="T14" s="304"/>
      <c r="V14" s="305" t="e">
        <f>#REF!/#REF!</f>
        <v>#REF!</v>
      </c>
      <c r="W14" s="306"/>
      <c r="Y14" s="306"/>
      <c r="Z14" s="307"/>
      <c r="AB14" s="306">
        <f t="shared" si="6"/>
        <v>40</v>
      </c>
      <c r="AC14" s="306"/>
      <c r="AD14" s="306">
        <f t="shared" si="7"/>
        <v>14.281380480057127</v>
      </c>
      <c r="AE14" s="306"/>
      <c r="AF14" s="306">
        <f t="shared" si="8"/>
        <v>0</v>
      </c>
      <c r="AG14" s="306"/>
    </row>
    <row r="15" spans="1:34" ht="15.75" thickBot="1" x14ac:dyDescent="0.3">
      <c r="A15" s="277" t="s">
        <v>17</v>
      </c>
      <c r="B15" s="290">
        <v>0.26035676655548123</v>
      </c>
      <c r="C15" s="291">
        <v>0.173565862176814</v>
      </c>
      <c r="D15" s="311">
        <v>4</v>
      </c>
      <c r="E15" s="293">
        <f>SUM(D15*Z5)</f>
        <v>4.7775999999999999E-2</v>
      </c>
      <c r="F15" s="312"/>
      <c r="G15" s="295">
        <f>SUM(F15*Z5)</f>
        <v>0</v>
      </c>
      <c r="H15" s="296">
        <f t="shared" si="0"/>
        <v>28.478673600113915</v>
      </c>
      <c r="I15" s="293">
        <f>SUM('opgave en invulling'!J13*0.5)</f>
        <v>2.3732228000000001E-2</v>
      </c>
      <c r="J15" s="297">
        <f t="shared" si="1"/>
        <v>64.948948800259785</v>
      </c>
      <c r="K15" s="298">
        <v>5.4124123999999996E-2</v>
      </c>
      <c r="L15" s="297"/>
      <c r="M15" s="290">
        <f t="shared" si="2"/>
        <v>0</v>
      </c>
      <c r="N15" s="297"/>
      <c r="O15" s="299">
        <f t="shared" si="3"/>
        <v>0</v>
      </c>
      <c r="P15" s="300"/>
      <c r="Q15" s="301">
        <f t="shared" si="4"/>
        <v>0.125632352</v>
      </c>
      <c r="R15" s="302">
        <f t="shared" si="5"/>
        <v>-0.13472441455548123</v>
      </c>
      <c r="S15" s="303">
        <f t="shared" si="9"/>
        <v>8.375490133333334E-2</v>
      </c>
      <c r="T15" s="304"/>
      <c r="V15" s="305" t="e">
        <f>#REF!/#REF!</f>
        <v>#REF!</v>
      </c>
      <c r="W15" s="306"/>
      <c r="Y15" s="306"/>
      <c r="Z15" s="307"/>
      <c r="AB15" s="306">
        <f t="shared" si="6"/>
        <v>0</v>
      </c>
      <c r="AC15" s="306"/>
      <c r="AD15" s="306">
        <f t="shared" si="7"/>
        <v>93.427622400373707</v>
      </c>
      <c r="AE15" s="306"/>
      <c r="AF15" s="306">
        <f t="shared" si="8"/>
        <v>4</v>
      </c>
      <c r="AG15" s="306"/>
    </row>
    <row r="16" spans="1:34" ht="15.75" thickBot="1" x14ac:dyDescent="0.3">
      <c r="A16" s="277" t="s">
        <v>18</v>
      </c>
      <c r="B16" s="290">
        <v>0.32865307462892751</v>
      </c>
      <c r="C16" s="291">
        <v>0.21909533986655547</v>
      </c>
      <c r="D16" s="311">
        <v>4</v>
      </c>
      <c r="E16" s="293">
        <v>4.8000000000000001E-2</v>
      </c>
      <c r="F16" s="309"/>
      <c r="G16" s="295"/>
      <c r="H16" s="296">
        <f t="shared" si="0"/>
        <v>11.984011200047936</v>
      </c>
      <c r="I16" s="293">
        <f>SUM('opgave en invulling'!J14*0.5)</f>
        <v>9.9866759999999999E-3</v>
      </c>
      <c r="J16" s="297">
        <f t="shared" si="1"/>
        <v>70.778867520283114</v>
      </c>
      <c r="K16" s="298">
        <v>5.8982389599999997E-2</v>
      </c>
      <c r="L16" s="297"/>
      <c r="M16" s="290">
        <f t="shared" si="2"/>
        <v>0</v>
      </c>
      <c r="N16" s="297"/>
      <c r="O16" s="299">
        <f t="shared" si="3"/>
        <v>0</v>
      </c>
      <c r="P16" s="300"/>
      <c r="Q16" s="301">
        <f t="shared" si="4"/>
        <v>0.11696906560000001</v>
      </c>
      <c r="R16" s="302">
        <f t="shared" si="5"/>
        <v>-0.21168400902892751</v>
      </c>
      <c r="S16" s="303">
        <f t="shared" si="9"/>
        <v>7.7979377066666675E-2</v>
      </c>
      <c r="T16" s="304"/>
      <c r="V16" s="305" t="e">
        <f>#REF!/#REF!</f>
        <v>#REF!</v>
      </c>
      <c r="W16" s="306"/>
      <c r="Y16" s="306"/>
      <c r="Z16" s="307"/>
      <c r="AB16" s="306">
        <f t="shared" si="6"/>
        <v>0</v>
      </c>
      <c r="AC16" s="306"/>
      <c r="AD16" s="306">
        <f t="shared" si="7"/>
        <v>82.762878720331045</v>
      </c>
      <c r="AE16" s="306"/>
      <c r="AF16" s="306">
        <f t="shared" si="8"/>
        <v>4</v>
      </c>
      <c r="AG16" s="306"/>
    </row>
    <row r="17" spans="1:33" ht="15.75" thickBot="1" x14ac:dyDescent="0.3">
      <c r="A17" s="277" t="s">
        <v>19</v>
      </c>
      <c r="B17" s="290">
        <v>2.8466976352617142E-2</v>
      </c>
      <c r="C17" s="291">
        <v>1.8977403044203502E-2</v>
      </c>
      <c r="D17" s="308"/>
      <c r="E17" s="290"/>
      <c r="F17" s="309"/>
      <c r="G17" s="295"/>
      <c r="H17" s="296">
        <f t="shared" si="0"/>
        <v>13.685892000054743</v>
      </c>
      <c r="I17" s="293">
        <f>SUM('opgave en invulling'!J15*0.5)</f>
        <v>1.1404909999999999E-2</v>
      </c>
      <c r="J17" s="297">
        <f t="shared" si="1"/>
        <v>21.201210720084802</v>
      </c>
      <c r="K17" s="298">
        <v>1.7667675599999998E-2</v>
      </c>
      <c r="L17" s="314">
        <v>8</v>
      </c>
      <c r="M17" s="290">
        <f t="shared" si="2"/>
        <v>6.6666666666400001E-3</v>
      </c>
      <c r="N17" s="297">
        <v>42</v>
      </c>
      <c r="O17" s="299">
        <f t="shared" si="3"/>
        <v>3.4999999999859997E-2</v>
      </c>
      <c r="P17" s="300"/>
      <c r="Q17" s="301">
        <f t="shared" si="4"/>
        <v>7.0739252266499991E-2</v>
      </c>
      <c r="R17" s="302">
        <f t="shared" si="5"/>
        <v>4.2272275913882849E-2</v>
      </c>
      <c r="S17" s="303">
        <f t="shared" si="9"/>
        <v>4.7159501510999992E-2</v>
      </c>
      <c r="T17" s="304"/>
      <c r="V17" s="305" t="e">
        <f>#REF!/#REF!</f>
        <v>#REF!</v>
      </c>
      <c r="W17" s="306"/>
      <c r="Y17" s="310"/>
      <c r="Z17" s="307"/>
      <c r="AB17" s="306">
        <f t="shared" si="6"/>
        <v>50</v>
      </c>
      <c r="AC17" s="306"/>
      <c r="AD17" s="306">
        <f t="shared" si="7"/>
        <v>34.887102720139545</v>
      </c>
      <c r="AE17" s="306"/>
      <c r="AF17" s="306">
        <f t="shared" si="8"/>
        <v>0</v>
      </c>
      <c r="AG17" s="306"/>
    </row>
    <row r="18" spans="1:33" ht="15.75" thickBot="1" x14ac:dyDescent="0.3">
      <c r="A18" s="277" t="s">
        <v>20</v>
      </c>
      <c r="B18" s="290">
        <v>3.5675352338902171E-2</v>
      </c>
      <c r="C18" s="291">
        <v>2.3782839866555463E-2</v>
      </c>
      <c r="D18" s="308"/>
      <c r="E18" s="290"/>
      <c r="F18" s="309"/>
      <c r="G18" s="295"/>
      <c r="H18" s="296">
        <f t="shared" si="0"/>
        <v>1.9076220000076305</v>
      </c>
      <c r="I18" s="293">
        <f>SUM('opgave en invulling'!J16*0.5)</f>
        <v>1.589685E-3</v>
      </c>
      <c r="J18" s="297">
        <f t="shared" si="1"/>
        <v>10.489549920041958</v>
      </c>
      <c r="K18" s="298">
        <v>8.7412915999999993E-3</v>
      </c>
      <c r="L18" s="297"/>
      <c r="M18" s="290">
        <f t="shared" si="2"/>
        <v>0</v>
      </c>
      <c r="N18" s="297"/>
      <c r="O18" s="299">
        <f t="shared" si="3"/>
        <v>0</v>
      </c>
      <c r="P18" s="300"/>
      <c r="Q18" s="301">
        <f t="shared" si="4"/>
        <v>1.03309766E-2</v>
      </c>
      <c r="R18" s="302">
        <f t="shared" si="5"/>
        <v>-2.5344375738902171E-2</v>
      </c>
      <c r="S18" s="303">
        <f t="shared" si="9"/>
        <v>6.8873177333333329E-3</v>
      </c>
      <c r="T18" s="304"/>
      <c r="V18" s="305" t="e">
        <f>#REF!/#REF!</f>
        <v>#REF!</v>
      </c>
      <c r="W18" s="306"/>
      <c r="Y18" s="306"/>
      <c r="Z18" s="307"/>
      <c r="AB18" s="306">
        <f t="shared" si="6"/>
        <v>0</v>
      </c>
      <c r="AC18" s="306"/>
      <c r="AD18" s="306">
        <f t="shared" si="7"/>
        <v>12.397171920049589</v>
      </c>
      <c r="AE18" s="306"/>
      <c r="AF18" s="306">
        <f t="shared" si="8"/>
        <v>0</v>
      </c>
      <c r="AG18" s="306"/>
    </row>
    <row r="19" spans="1:33" ht="15.75" thickBot="1" x14ac:dyDescent="0.3">
      <c r="A19" s="277" t="s">
        <v>21</v>
      </c>
      <c r="B19" s="290">
        <v>0.11484531232386314</v>
      </c>
      <c r="C19" s="291">
        <v>7.6561196830692235E-2</v>
      </c>
      <c r="D19" s="308"/>
      <c r="E19" s="290"/>
      <c r="F19" s="309"/>
      <c r="G19" s="295"/>
      <c r="H19" s="296">
        <f t="shared" si="0"/>
        <v>15.19197600006077</v>
      </c>
      <c r="I19" s="293">
        <f>SUM('opgave en invulling'!J17*0.5)</f>
        <v>1.2659980000000001E-2</v>
      </c>
      <c r="J19" s="297">
        <f t="shared" si="1"/>
        <v>35.072150880140292</v>
      </c>
      <c r="K19" s="315">
        <v>2.9226792400000003E-2</v>
      </c>
      <c r="L19" s="297"/>
      <c r="M19" s="290">
        <f t="shared" si="2"/>
        <v>0</v>
      </c>
      <c r="N19" s="297"/>
      <c r="O19" s="299">
        <f t="shared" si="3"/>
        <v>0</v>
      </c>
      <c r="P19" s="300"/>
      <c r="Q19" s="301">
        <f t="shared" si="4"/>
        <v>4.1886772400000008E-2</v>
      </c>
      <c r="R19" s="302">
        <f t="shared" si="5"/>
        <v>-7.2958539923863128E-2</v>
      </c>
      <c r="S19" s="303">
        <f t="shared" si="9"/>
        <v>2.7924514933333339E-2</v>
      </c>
      <c r="T19" s="304"/>
      <c r="V19" s="305" t="e">
        <f>#REF!/#REF!</f>
        <v>#REF!</v>
      </c>
      <c r="W19" s="306"/>
      <c r="Y19" s="306"/>
      <c r="Z19" s="307"/>
      <c r="AB19" s="306">
        <f t="shared" si="6"/>
        <v>0</v>
      </c>
      <c r="AC19" s="306"/>
      <c r="AD19" s="306">
        <f t="shared" si="7"/>
        <v>50.264126880201061</v>
      </c>
      <c r="AE19" s="306"/>
      <c r="AF19" s="306">
        <f t="shared" si="8"/>
        <v>0</v>
      </c>
      <c r="AG19" s="306"/>
    </row>
    <row r="20" spans="1:33" ht="15.75" thickBot="1" x14ac:dyDescent="0.3">
      <c r="A20" s="277" t="s">
        <v>22</v>
      </c>
      <c r="B20" s="290">
        <v>4.7061165473035627E-2</v>
      </c>
      <c r="C20" s="291">
        <v>3.1465022935779817E-2</v>
      </c>
      <c r="D20" s="308"/>
      <c r="E20" s="290"/>
      <c r="F20" s="309"/>
      <c r="G20" s="295"/>
      <c r="H20" s="296">
        <f t="shared" si="0"/>
        <v>4.3965824460175869</v>
      </c>
      <c r="I20" s="293">
        <f>SUM('opgave en invulling'!J18*0.5)</f>
        <v>3.6638187050000003E-3</v>
      </c>
      <c r="J20" s="297">
        <f t="shared" si="1"/>
        <v>11.051951712044209</v>
      </c>
      <c r="K20" s="316">
        <v>9.2099597600000006E-3</v>
      </c>
      <c r="L20" s="297"/>
      <c r="M20" s="290">
        <f t="shared" si="2"/>
        <v>0</v>
      </c>
      <c r="N20" s="317"/>
      <c r="O20" s="299">
        <f t="shared" si="3"/>
        <v>0</v>
      </c>
      <c r="P20" s="300"/>
      <c r="Q20" s="301">
        <f t="shared" si="4"/>
        <v>1.2873778465000001E-2</v>
      </c>
      <c r="R20" s="302">
        <f t="shared" si="5"/>
        <v>-3.4187387008035627E-2</v>
      </c>
      <c r="S20" s="303">
        <f t="shared" si="9"/>
        <v>8.5825189766666667E-3</v>
      </c>
      <c r="T20" s="304"/>
      <c r="U20" s="318"/>
      <c r="V20" s="319" t="e">
        <f>#REF!/#REF!</f>
        <v>#REF!</v>
      </c>
      <c r="W20" s="306"/>
      <c r="X20" s="318"/>
      <c r="Y20" s="306"/>
      <c r="Z20" s="307"/>
      <c r="AB20" s="306">
        <f t="shared" si="6"/>
        <v>0</v>
      </c>
      <c r="AC20" s="306"/>
      <c r="AD20" s="306">
        <f t="shared" si="7"/>
        <v>15.448534158061797</v>
      </c>
      <c r="AE20" s="306"/>
      <c r="AF20" s="306">
        <f t="shared" si="8"/>
        <v>0</v>
      </c>
      <c r="AG20" s="306"/>
    </row>
    <row r="21" spans="1:33" ht="15.75" thickBot="1" x14ac:dyDescent="0.3">
      <c r="A21" s="320" t="s">
        <v>23</v>
      </c>
      <c r="B21" s="321">
        <f>SUM(B6:B20)</f>
        <v>1.5</v>
      </c>
      <c r="C21" s="322">
        <f>SUM(C6:C20)</f>
        <v>1</v>
      </c>
      <c r="D21" s="323">
        <f t="shared" ref="D21:Q21" si="10">SUM(D6:D20)</f>
        <v>12</v>
      </c>
      <c r="E21" s="324">
        <f t="shared" si="10"/>
        <v>0.13477600000000001</v>
      </c>
      <c r="F21" s="325">
        <f t="shared" si="10"/>
        <v>3</v>
      </c>
      <c r="G21" s="326">
        <f t="shared" si="10"/>
        <v>3.5832000000000003E-2</v>
      </c>
      <c r="H21" s="323">
        <f t="shared" si="10"/>
        <v>208.77040372883508</v>
      </c>
      <c r="I21" s="324">
        <f t="shared" si="10"/>
        <v>0.17397533643999996</v>
      </c>
      <c r="J21" s="325">
        <f t="shared" si="10"/>
        <v>452.21378361780887</v>
      </c>
      <c r="K21" s="327">
        <f t="shared" si="10"/>
        <v>0.37684481967999994</v>
      </c>
      <c r="L21" s="325">
        <f t="shared" si="10"/>
        <v>128</v>
      </c>
      <c r="M21" s="328">
        <f>SUM(M6:M20)</f>
        <v>0.10666666666624</v>
      </c>
      <c r="N21" s="325">
        <f t="shared" si="10"/>
        <v>42</v>
      </c>
      <c r="O21" s="329">
        <f t="shared" si="10"/>
        <v>3.4999999999859997E-2</v>
      </c>
      <c r="P21" s="330"/>
      <c r="Q21" s="331">
        <f t="shared" si="10"/>
        <v>0.86309482278610017</v>
      </c>
      <c r="R21" s="332">
        <f>SUM(B21-Q21)</f>
        <v>0.63690517721389983</v>
      </c>
      <c r="S21" s="333">
        <f>SUM(S6:S20)</f>
        <v>0.57539654852406663</v>
      </c>
      <c r="T21" s="334"/>
      <c r="U21" s="335"/>
      <c r="V21" s="336" t="e">
        <f>SUM(V6:V20)</f>
        <v>#REF!</v>
      </c>
      <c r="W21" s="337">
        <f>SUM(R21/X5)</f>
        <v>764.28621265973698</v>
      </c>
      <c r="X21" s="338"/>
      <c r="Y21" s="339">
        <f>SUM(R21/Z5)</f>
        <v>53.324278065463815</v>
      </c>
      <c r="Z21" s="338"/>
      <c r="AA21" s="338"/>
      <c r="AB21" s="337">
        <f>SUM(AB6:AB20)</f>
        <v>170</v>
      </c>
      <c r="AC21" s="340">
        <f>SUM(AB21*X5)</f>
        <v>0.14166666666610001</v>
      </c>
      <c r="AD21" s="337">
        <f>SUM(AD6:AD20)</f>
        <v>660.98418734664381</v>
      </c>
      <c r="AE21" s="340">
        <f>SUM(AD21*X5)</f>
        <v>0.5508201561199999</v>
      </c>
      <c r="AF21" s="337">
        <f>SUM(AF6:AF20)</f>
        <v>15</v>
      </c>
      <c r="AG21" s="341">
        <f>SUM(AF21*Z5)</f>
        <v>0.17915999999999999</v>
      </c>
    </row>
    <row r="22" spans="1:33" x14ac:dyDescent="0.25">
      <c r="B22" s="244" t="s">
        <v>113</v>
      </c>
      <c r="E22" s="244" t="s">
        <v>114</v>
      </c>
      <c r="G22" s="244" t="s">
        <v>115</v>
      </c>
      <c r="I22" s="244" t="s">
        <v>116</v>
      </c>
      <c r="J22" s="244" t="s">
        <v>121</v>
      </c>
      <c r="K22" s="244" t="s">
        <v>116</v>
      </c>
      <c r="M22" s="244" t="s">
        <v>117</v>
      </c>
      <c r="N22" s="244" t="s">
        <v>121</v>
      </c>
      <c r="O22" s="244" t="s">
        <v>117</v>
      </c>
      <c r="S22" s="244" t="s">
        <v>118</v>
      </c>
      <c r="T22" s="245"/>
      <c r="AC22" s="342">
        <f>SUM(AC21/Q$21)</f>
        <v>0.16413801001469927</v>
      </c>
      <c r="AE22" s="342">
        <f>SUM(AE21/Q$21)</f>
        <v>0.63819193624859583</v>
      </c>
      <c r="AG22" s="342">
        <f>SUM(AG21/Q$21)</f>
        <v>0.20757858264247869</v>
      </c>
    </row>
    <row r="23" spans="1:33" x14ac:dyDescent="0.25">
      <c r="O23" s="244" t="s">
        <v>114</v>
      </c>
      <c r="R23" s="343"/>
      <c r="S23" s="343"/>
      <c r="T23" s="344"/>
      <c r="W23" s="244">
        <v>11</v>
      </c>
      <c r="X23" s="244">
        <f>SUM(W23*X5)</f>
        <v>9.1666666666299999E-3</v>
      </c>
      <c r="AC23" s="244" t="s">
        <v>93</v>
      </c>
      <c r="AE23" s="244" t="s">
        <v>88</v>
      </c>
      <c r="AG23" s="244" t="s">
        <v>94</v>
      </c>
    </row>
    <row r="24" spans="1:33" x14ac:dyDescent="0.25">
      <c r="T24" s="245"/>
    </row>
    <row r="25" spans="1:33" x14ac:dyDescent="0.25">
      <c r="T25" s="245"/>
      <c r="AD25" s="335">
        <f>AC22+AE22</f>
        <v>0.80232994626329512</v>
      </c>
    </row>
    <row r="26" spans="1:33" x14ac:dyDescent="0.25">
      <c r="T26" s="245"/>
    </row>
    <row r="27" spans="1:33" x14ac:dyDescent="0.25">
      <c r="A27" s="345"/>
      <c r="T27" s="245"/>
    </row>
    <row r="28" spans="1:33" x14ac:dyDescent="0.25">
      <c r="A28" s="345"/>
    </row>
    <row r="29" spans="1:33" x14ac:dyDescent="0.25">
      <c r="A29" s="345"/>
    </row>
    <row r="30" spans="1:33" x14ac:dyDescent="0.25">
      <c r="A30" s="345"/>
    </row>
  </sheetData>
  <mergeCells count="13">
    <mergeCell ref="D3:G3"/>
    <mergeCell ref="H3:K3"/>
    <mergeCell ref="L3:O3"/>
    <mergeCell ref="N4:O4"/>
    <mergeCell ref="Q3:S3"/>
    <mergeCell ref="AB4:AG4"/>
    <mergeCell ref="B4:C4"/>
    <mergeCell ref="D4:E4"/>
    <mergeCell ref="F4:G4"/>
    <mergeCell ref="H4:I4"/>
    <mergeCell ref="J4:K4"/>
    <mergeCell ref="L4:M4"/>
    <mergeCell ref="R4:S4"/>
  </mergeCells>
  <conditionalFormatting sqref="R6:R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GridLines="0" topLeftCell="A2" zoomScaleNormal="100" workbookViewId="0">
      <pane xSplit="3" ySplit="3" topLeftCell="I5" activePane="bottomRight" state="frozen"/>
      <selection activeCell="A2" sqref="A2"/>
      <selection pane="topRight" activeCell="D2" sqref="D2"/>
      <selection pane="bottomLeft" activeCell="A5" sqref="A5"/>
      <selection pane="bottomRight" activeCell="A19" sqref="A19:XFD19"/>
    </sheetView>
  </sheetViews>
  <sheetFormatPr defaultRowHeight="15" x14ac:dyDescent="0.25"/>
  <cols>
    <col min="1" max="1" width="19.5703125" customWidth="1"/>
    <col min="2" max="2" width="11.85546875" customWidth="1"/>
    <col min="3" max="3" width="9.42578125" customWidth="1"/>
    <col min="4" max="7" width="13.85546875" customWidth="1"/>
    <col min="8" max="8" width="10.5703125" customWidth="1"/>
    <col min="9" max="9" width="12.85546875" customWidth="1"/>
    <col min="10" max="10" width="11.140625" customWidth="1"/>
    <col min="11" max="11" width="11.5703125" customWidth="1"/>
    <col min="12" max="12" width="10.85546875" customWidth="1"/>
    <col min="13" max="13" width="13.85546875" customWidth="1"/>
    <col min="14" max="14" width="11.5703125" customWidth="1"/>
    <col min="15" max="15" width="13.85546875" customWidth="1"/>
    <col min="16" max="16" width="3.140625" customWidth="1"/>
    <col min="17" max="18" width="13.85546875" customWidth="1"/>
    <col min="19" max="19" width="13.28515625" customWidth="1"/>
    <col min="20" max="20" width="4" customWidth="1"/>
    <col min="21" max="21" width="13.42578125" customWidth="1"/>
    <col min="23" max="23" width="14.85546875" customWidth="1"/>
    <col min="24" max="24" width="15.85546875" bestFit="1" customWidth="1"/>
    <col min="26" max="29" width="16.85546875" hidden="1" customWidth="1"/>
    <col min="30" max="31" width="16.42578125" hidden="1" customWidth="1"/>
  </cols>
  <sheetData>
    <row r="1" spans="1:32" ht="21" x14ac:dyDescent="0.35">
      <c r="A1" s="116" t="s">
        <v>89</v>
      </c>
      <c r="T1" s="49"/>
    </row>
    <row r="2" spans="1:32" ht="15.75" thickBot="1" x14ac:dyDescent="0.3">
      <c r="T2" s="49"/>
    </row>
    <row r="3" spans="1:32" ht="16.5" thickTop="1" thickBot="1" x14ac:dyDescent="0.3">
      <c r="B3" s="238" t="s">
        <v>110</v>
      </c>
      <c r="C3" s="240"/>
      <c r="D3" s="163" t="s">
        <v>95</v>
      </c>
      <c r="E3" s="161"/>
      <c r="F3" s="161"/>
      <c r="G3" s="162"/>
      <c r="H3" s="235" t="s">
        <v>96</v>
      </c>
      <c r="I3" s="236"/>
      <c r="J3" s="236"/>
      <c r="K3" s="237"/>
      <c r="L3" s="236" t="s">
        <v>97</v>
      </c>
      <c r="M3" s="236"/>
      <c r="N3" s="236"/>
      <c r="O3" s="237"/>
      <c r="P3" s="124"/>
      <c r="Q3" s="238" t="s">
        <v>103</v>
      </c>
      <c r="R3" s="239"/>
      <c r="S3" s="240"/>
      <c r="T3" s="49"/>
      <c r="U3" s="238" t="s">
        <v>111</v>
      </c>
      <c r="V3" s="239"/>
      <c r="W3" s="239"/>
      <c r="X3" s="240"/>
    </row>
    <row r="4" spans="1:32" ht="44.45" customHeight="1" thickBot="1" x14ac:dyDescent="0.3">
      <c r="A4" s="126"/>
      <c r="B4" s="230" t="s">
        <v>70</v>
      </c>
      <c r="C4" s="234"/>
      <c r="D4" s="228" t="s">
        <v>99</v>
      </c>
      <c r="E4" s="229"/>
      <c r="F4" s="230" t="s">
        <v>98</v>
      </c>
      <c r="G4" s="231"/>
      <c r="H4" s="228" t="s">
        <v>100</v>
      </c>
      <c r="I4" s="229"/>
      <c r="J4" s="232" t="s">
        <v>112</v>
      </c>
      <c r="K4" s="233"/>
      <c r="L4" s="234" t="s">
        <v>107</v>
      </c>
      <c r="M4" s="234"/>
      <c r="N4" s="230" t="s">
        <v>101</v>
      </c>
      <c r="O4" s="234"/>
      <c r="P4" s="130"/>
      <c r="Q4" s="133" t="s">
        <v>103</v>
      </c>
      <c r="R4" s="241" t="s">
        <v>104</v>
      </c>
      <c r="S4" s="242"/>
      <c r="T4" s="164"/>
      <c r="U4" s="165" t="s">
        <v>58</v>
      </c>
      <c r="V4" s="166" t="s">
        <v>81</v>
      </c>
      <c r="W4" s="165" t="s">
        <v>61</v>
      </c>
      <c r="X4" s="166" t="s">
        <v>84</v>
      </c>
      <c r="Z4" s="220" t="s">
        <v>90</v>
      </c>
      <c r="AA4" s="224"/>
      <c r="AB4" s="224"/>
      <c r="AC4" s="224"/>
      <c r="AD4" s="224"/>
      <c r="AE4" s="221"/>
    </row>
    <row r="5" spans="1:32" ht="42" customHeight="1" thickBot="1" x14ac:dyDescent="0.3">
      <c r="A5" s="125" t="s">
        <v>92</v>
      </c>
      <c r="B5" s="128" t="s">
        <v>28</v>
      </c>
      <c r="C5" s="135" t="s">
        <v>56</v>
      </c>
      <c r="D5" s="127" t="s">
        <v>4</v>
      </c>
      <c r="E5" s="136" t="s">
        <v>5</v>
      </c>
      <c r="F5" s="136" t="s">
        <v>4</v>
      </c>
      <c r="G5" s="137" t="s">
        <v>5</v>
      </c>
      <c r="H5" s="127" t="s">
        <v>6</v>
      </c>
      <c r="I5" s="136" t="s">
        <v>5</v>
      </c>
      <c r="J5" s="128" t="s">
        <v>72</v>
      </c>
      <c r="K5" s="129" t="s">
        <v>28</v>
      </c>
      <c r="L5" s="136" t="s">
        <v>6</v>
      </c>
      <c r="M5" s="128" t="s">
        <v>5</v>
      </c>
      <c r="N5" s="136" t="s">
        <v>6</v>
      </c>
      <c r="O5" s="134" t="s">
        <v>5</v>
      </c>
      <c r="P5" s="130"/>
      <c r="Q5" s="127" t="s">
        <v>5</v>
      </c>
      <c r="R5" s="132" t="s">
        <v>108</v>
      </c>
      <c r="S5" s="127" t="s">
        <v>105</v>
      </c>
      <c r="T5" s="139"/>
      <c r="U5" s="142" t="s">
        <v>109</v>
      </c>
      <c r="V5" s="138">
        <v>8.3333333333000001E-4</v>
      </c>
      <c r="W5" s="142" t="s">
        <v>69</v>
      </c>
      <c r="X5" s="120">
        <v>1.1944E-2</v>
      </c>
      <c r="Y5" s="119"/>
      <c r="Z5" s="121" t="s">
        <v>68</v>
      </c>
      <c r="AA5" s="122" t="s">
        <v>5</v>
      </c>
      <c r="AB5" s="122" t="s">
        <v>88</v>
      </c>
      <c r="AC5" s="122" t="s">
        <v>5</v>
      </c>
      <c r="AD5" s="122" t="s">
        <v>69</v>
      </c>
      <c r="AE5" s="123" t="s">
        <v>5</v>
      </c>
      <c r="AF5" s="119"/>
    </row>
    <row r="6" spans="1:32" s="205" customFormat="1" ht="15.75" thickBot="1" x14ac:dyDescent="0.3">
      <c r="A6" s="186" t="s">
        <v>7</v>
      </c>
      <c r="B6" s="187">
        <v>5.6933952705234284E-2</v>
      </c>
      <c r="C6" s="188">
        <v>3.7954806088407005E-2</v>
      </c>
      <c r="D6" s="206"/>
      <c r="E6" s="190"/>
      <c r="F6" s="207"/>
      <c r="G6" s="192">
        <f>SUM(F6*$X$5)</f>
        <v>0</v>
      </c>
      <c r="H6" s="193">
        <f t="shared" ref="H6:H20" si="0">SUM(I6/V$5)</f>
        <v>19.185012000076739</v>
      </c>
      <c r="I6" s="190">
        <f>SUM('opgave en invulling'!J4*0.5)</f>
        <v>1.598751E-2</v>
      </c>
      <c r="J6" s="194">
        <f t="shared" ref="J6:J20" si="1">SUM(K6/V$5)</f>
        <v>26.03401344010414</v>
      </c>
      <c r="K6" s="195">
        <v>2.1695011200000003E-2</v>
      </c>
      <c r="L6" s="194"/>
      <c r="M6" s="196">
        <f t="shared" ref="M6:M20" si="2">SUM(L6*V$5)</f>
        <v>0</v>
      </c>
      <c r="N6" s="194"/>
      <c r="O6" s="197">
        <f t="shared" ref="O6:O20" si="3">SUM(N6*V$5)</f>
        <v>0</v>
      </c>
      <c r="P6" s="198"/>
      <c r="Q6" s="187">
        <f t="shared" ref="Q6:Q20" si="4">SUM(E6+G6+I6+K6+M6+O6)</f>
        <v>3.7682521199999999E-2</v>
      </c>
      <c r="R6" s="199">
        <f t="shared" ref="R6:R20" si="5">Q6/$B$21</f>
        <v>2.5121680800000001E-2</v>
      </c>
      <c r="S6" s="187">
        <f>B6-Q6</f>
        <v>1.9251431505234284E-2</v>
      </c>
      <c r="T6" s="200"/>
      <c r="U6" s="201">
        <v>0</v>
      </c>
      <c r="W6" s="203">
        <v>0</v>
      </c>
      <c r="X6" s="204"/>
      <c r="Z6" s="201">
        <f t="shared" ref="Z6:Z20" si="6">SUM(L6+N6+U6)</f>
        <v>0</v>
      </c>
      <c r="AA6" s="201"/>
      <c r="AB6" s="201">
        <f t="shared" ref="AB6:AB20" si="7">SUM(H6+J6)</f>
        <v>45.219025440180879</v>
      </c>
      <c r="AC6" s="201"/>
      <c r="AD6" s="201">
        <f t="shared" ref="AD6:AD20" si="8">SUM(D6+F6+W6)</f>
        <v>0</v>
      </c>
      <c r="AE6" s="201"/>
    </row>
    <row r="7" spans="1:32" s="205" customFormat="1" ht="15.75" thickBot="1" x14ac:dyDescent="0.3">
      <c r="A7" s="186" t="s">
        <v>8</v>
      </c>
      <c r="B7" s="187">
        <v>2.3946469378167207E-2</v>
      </c>
      <c r="C7" s="188">
        <v>1.5963824020016681E-2</v>
      </c>
      <c r="D7" s="208"/>
      <c r="E7" s="196"/>
      <c r="F7" s="209"/>
      <c r="G7" s="192"/>
      <c r="H7" s="193">
        <f t="shared" si="0"/>
        <v>12.843726000051374</v>
      </c>
      <c r="I7" s="190">
        <f>SUM('opgave en invulling'!J5*0.5)</f>
        <v>1.0703104999999999E-2</v>
      </c>
      <c r="J7" s="194">
        <f t="shared" si="1"/>
        <v>17.638412160070551</v>
      </c>
      <c r="K7" s="195">
        <v>1.4698676799999999E-2</v>
      </c>
      <c r="L7" s="194"/>
      <c r="M7" s="196">
        <f t="shared" si="2"/>
        <v>0</v>
      </c>
      <c r="N7" s="194"/>
      <c r="O7" s="197">
        <f t="shared" si="3"/>
        <v>0</v>
      </c>
      <c r="P7" s="198"/>
      <c r="Q7" s="187">
        <f t="shared" si="4"/>
        <v>2.5401781799999999E-2</v>
      </c>
      <c r="R7" s="199">
        <f t="shared" si="5"/>
        <v>1.69345212E-2</v>
      </c>
      <c r="S7" s="187">
        <f t="shared" ref="S7:S20" si="9">B7-Q7</f>
        <v>-1.4553124218327912E-3</v>
      </c>
      <c r="T7" s="200"/>
      <c r="U7" s="201">
        <v>0</v>
      </c>
      <c r="W7" s="203">
        <v>0</v>
      </c>
      <c r="X7" s="204"/>
      <c r="Z7" s="201">
        <f t="shared" si="6"/>
        <v>0</v>
      </c>
      <c r="AA7" s="201"/>
      <c r="AB7" s="201">
        <f t="shared" si="7"/>
        <v>30.482138160121927</v>
      </c>
      <c r="AC7" s="201"/>
      <c r="AD7" s="201">
        <f t="shared" si="8"/>
        <v>0</v>
      </c>
      <c r="AE7" s="201"/>
    </row>
    <row r="8" spans="1:32" s="205" customFormat="1" ht="15.75" thickBot="1" x14ac:dyDescent="0.3">
      <c r="A8" s="186" t="s">
        <v>9</v>
      </c>
      <c r="B8" s="187">
        <v>9.7985043067806643E-2</v>
      </c>
      <c r="C8" s="188">
        <v>6.5321361551292742E-2</v>
      </c>
      <c r="D8" s="208"/>
      <c r="E8" s="196"/>
      <c r="F8" s="209"/>
      <c r="G8" s="192"/>
      <c r="H8" s="193">
        <f t="shared" si="0"/>
        <v>11.842065000047366</v>
      </c>
      <c r="I8" s="190">
        <f>SUM('opgave en invulling'!J6*0.5)</f>
        <v>9.868387499999999E-3</v>
      </c>
      <c r="J8" s="194">
        <f t="shared" si="1"/>
        <v>28.803673440115215</v>
      </c>
      <c r="K8" s="195">
        <v>2.4003061200000002E-2</v>
      </c>
      <c r="L8" s="194"/>
      <c r="M8" s="196">
        <f t="shared" si="2"/>
        <v>0</v>
      </c>
      <c r="N8" s="194"/>
      <c r="O8" s="197">
        <f t="shared" si="3"/>
        <v>0</v>
      </c>
      <c r="P8" s="198"/>
      <c r="Q8" s="187">
        <f t="shared" si="4"/>
        <v>3.3871448700000001E-2</v>
      </c>
      <c r="R8" s="199">
        <f t="shared" si="5"/>
        <v>2.2580965800000002E-2</v>
      </c>
      <c r="S8" s="187">
        <f t="shared" si="9"/>
        <v>6.4113594367806642E-2</v>
      </c>
      <c r="T8" s="200"/>
      <c r="U8" s="201">
        <f>SUM(S8/V$5)</f>
        <v>76.93631324167572</v>
      </c>
      <c r="W8" s="203">
        <f>SUM(S8/X$5)</f>
        <v>5.3678494949603683</v>
      </c>
      <c r="X8" s="204"/>
      <c r="Z8" s="201">
        <f t="shared" si="6"/>
        <v>76.93631324167572</v>
      </c>
      <c r="AA8" s="201"/>
      <c r="AB8" s="201">
        <f t="shared" si="7"/>
        <v>40.645738440162582</v>
      </c>
      <c r="AC8" s="201"/>
      <c r="AD8" s="201">
        <f t="shared" si="8"/>
        <v>5.3678494949603683</v>
      </c>
      <c r="AE8" s="201"/>
    </row>
    <row r="9" spans="1:32" s="205" customFormat="1" ht="15.75" thickBot="1" x14ac:dyDescent="0.3">
      <c r="A9" s="186" t="s">
        <v>10</v>
      </c>
      <c r="B9" s="187">
        <v>7.6994252195744642E-2</v>
      </c>
      <c r="C9" s="188">
        <v>5.1266680567139289E-2</v>
      </c>
      <c r="D9" s="208"/>
      <c r="E9" s="196"/>
      <c r="F9" s="209"/>
      <c r="G9" s="192"/>
      <c r="H9" s="193">
        <f t="shared" si="0"/>
        <v>7.1046734820284199</v>
      </c>
      <c r="I9" s="190">
        <f>SUM('opgave en invulling'!J7*0.5)</f>
        <v>5.9205612350000008E-3</v>
      </c>
      <c r="J9" s="194">
        <f t="shared" si="1"/>
        <v>20.25315446408101</v>
      </c>
      <c r="K9" s="195">
        <v>1.6877628719999999E-2</v>
      </c>
      <c r="L9" s="194">
        <v>20</v>
      </c>
      <c r="M9" s="196">
        <f t="shared" si="2"/>
        <v>1.6666666666600001E-2</v>
      </c>
      <c r="N9" s="194"/>
      <c r="O9" s="197">
        <f t="shared" si="3"/>
        <v>0</v>
      </c>
      <c r="P9" s="198"/>
      <c r="Q9" s="187">
        <f t="shared" si="4"/>
        <v>3.94648566216E-2</v>
      </c>
      <c r="R9" s="199">
        <f t="shared" si="5"/>
        <v>2.6309904414399999E-2</v>
      </c>
      <c r="S9" s="187">
        <f t="shared" si="9"/>
        <v>3.7529395574144642E-2</v>
      </c>
      <c r="T9" s="200"/>
      <c r="U9" s="201">
        <f>SUM(S9/V$5)</f>
        <v>45.035274689153709</v>
      </c>
      <c r="W9" s="203">
        <f>SUM(S9/X$5)</f>
        <v>3.1421128243590624</v>
      </c>
      <c r="X9" s="204"/>
      <c r="Z9" s="201">
        <f t="shared" si="6"/>
        <v>65.035274689153709</v>
      </c>
      <c r="AA9" s="201"/>
      <c r="AB9" s="201">
        <f t="shared" si="7"/>
        <v>27.357827946109431</v>
      </c>
      <c r="AC9" s="201"/>
      <c r="AD9" s="201">
        <f t="shared" si="8"/>
        <v>3.1421128243590624</v>
      </c>
      <c r="AE9" s="201"/>
    </row>
    <row r="10" spans="1:32" s="183" customFormat="1" ht="15.75" thickBot="1" x14ac:dyDescent="0.3">
      <c r="A10" s="167" t="s">
        <v>11</v>
      </c>
      <c r="B10" s="168">
        <v>0.10030638448711876</v>
      </c>
      <c r="C10" s="169">
        <v>6.6868875104253545E-2</v>
      </c>
      <c r="D10" s="170"/>
      <c r="E10" s="171"/>
      <c r="F10" s="172"/>
      <c r="G10" s="173"/>
      <c r="H10" s="174">
        <f t="shared" si="0"/>
        <v>20.395014000081584</v>
      </c>
      <c r="I10" s="175">
        <f>SUM('opgave en invulling'!J8*0.5)</f>
        <v>1.6995845000000002E-2</v>
      </c>
      <c r="J10" s="176">
        <f t="shared" si="1"/>
        <v>21.740246880086961</v>
      </c>
      <c r="K10" s="177">
        <v>1.8116872400000001E-2</v>
      </c>
      <c r="L10" s="176">
        <v>40</v>
      </c>
      <c r="M10" s="171">
        <f t="shared" si="2"/>
        <v>3.3333333333200002E-2</v>
      </c>
      <c r="N10" s="176"/>
      <c r="O10" s="178">
        <f t="shared" si="3"/>
        <v>0</v>
      </c>
      <c r="P10" s="179"/>
      <c r="Q10" s="168">
        <f t="shared" si="4"/>
        <v>6.8446050733200009E-2</v>
      </c>
      <c r="R10" s="180">
        <f t="shared" si="5"/>
        <v>4.5630700488800004E-2</v>
      </c>
      <c r="S10" s="168">
        <f t="shared" si="9"/>
        <v>3.1860333753918751E-2</v>
      </c>
      <c r="T10" s="181"/>
      <c r="U10" s="182">
        <f>SUM(S10/V$5)</f>
        <v>38.232400504855434</v>
      </c>
      <c r="W10" s="184">
        <f>SUM(S10/X$5)</f>
        <v>2.6674760343200563</v>
      </c>
      <c r="X10" s="185"/>
      <c r="Z10" s="182">
        <f t="shared" si="6"/>
        <v>78.232400504855434</v>
      </c>
      <c r="AA10" s="182"/>
      <c r="AB10" s="182">
        <f t="shared" si="7"/>
        <v>42.135260880168545</v>
      </c>
      <c r="AC10" s="182"/>
      <c r="AD10" s="182">
        <f t="shared" si="8"/>
        <v>2.6674760343200563</v>
      </c>
      <c r="AE10" s="182"/>
    </row>
    <row r="11" spans="1:32" s="205" customFormat="1" ht="15.75" thickBot="1" x14ac:dyDescent="0.3">
      <c r="A11" s="186" t="s">
        <v>12</v>
      </c>
      <c r="B11" s="187">
        <v>1.6493741663533536E-2</v>
      </c>
      <c r="C11" s="188">
        <v>1.0995491034195162E-2</v>
      </c>
      <c r="D11" s="208"/>
      <c r="E11" s="196"/>
      <c r="F11" s="209"/>
      <c r="G11" s="192"/>
      <c r="H11" s="193">
        <f t="shared" si="0"/>
        <v>1.5201000000060803</v>
      </c>
      <c r="I11" s="190">
        <f>SUM('opgave en invulling'!J9*0.5)</f>
        <v>1.2667499999999999E-3</v>
      </c>
      <c r="J11" s="194">
        <f t="shared" si="1"/>
        <v>5.9143843200236574</v>
      </c>
      <c r="K11" s="195">
        <v>4.9286536000000001E-3</v>
      </c>
      <c r="L11" s="194">
        <v>20</v>
      </c>
      <c r="M11" s="196">
        <f t="shared" si="2"/>
        <v>1.6666666666600001E-2</v>
      </c>
      <c r="N11" s="194"/>
      <c r="O11" s="197">
        <f t="shared" si="3"/>
        <v>0</v>
      </c>
      <c r="P11" s="198"/>
      <c r="Q11" s="187">
        <f t="shared" si="4"/>
        <v>2.2862070266600001E-2</v>
      </c>
      <c r="R11" s="199">
        <f t="shared" si="5"/>
        <v>1.5241380177733334E-2</v>
      </c>
      <c r="S11" s="187">
        <f t="shared" si="9"/>
        <v>-6.3683286030664643E-3</v>
      </c>
      <c r="T11" s="200"/>
      <c r="U11" s="201">
        <v>0</v>
      </c>
      <c r="W11" s="203">
        <v>0</v>
      </c>
      <c r="X11" s="204"/>
      <c r="Z11" s="201">
        <f t="shared" si="6"/>
        <v>20</v>
      </c>
      <c r="AA11" s="201"/>
      <c r="AB11" s="201">
        <f t="shared" si="7"/>
        <v>7.4344843200297372</v>
      </c>
      <c r="AC11" s="201"/>
      <c r="AD11" s="201">
        <f t="shared" si="8"/>
        <v>0</v>
      </c>
      <c r="AE11" s="201"/>
    </row>
    <row r="12" spans="1:32" s="205" customFormat="1" ht="15.75" thickBot="1" x14ac:dyDescent="0.3">
      <c r="A12" s="186" t="s">
        <v>14</v>
      </c>
      <c r="B12" s="187">
        <v>2.748956943922256E-2</v>
      </c>
      <c r="C12" s="188">
        <v>1.8325818390325269E-2</v>
      </c>
      <c r="D12" s="208"/>
      <c r="E12" s="196"/>
      <c r="F12" s="209"/>
      <c r="G12" s="192"/>
      <c r="H12" s="193">
        <f t="shared" si="0"/>
        <v>8.8746570000354978</v>
      </c>
      <c r="I12" s="190">
        <f>SUM('opgave en invulling'!J10*0.5)</f>
        <v>7.3955474999999994E-3</v>
      </c>
      <c r="J12" s="194">
        <f t="shared" si="1"/>
        <v>16.67017632006668</v>
      </c>
      <c r="K12" s="195">
        <v>1.38918136E-2</v>
      </c>
      <c r="L12" s="194"/>
      <c r="M12" s="196">
        <f t="shared" si="2"/>
        <v>0</v>
      </c>
      <c r="N12" s="194"/>
      <c r="O12" s="197">
        <f t="shared" si="3"/>
        <v>0</v>
      </c>
      <c r="P12" s="198"/>
      <c r="Q12" s="187">
        <f t="shared" si="4"/>
        <v>2.1287361099999999E-2</v>
      </c>
      <c r="R12" s="199">
        <f t="shared" si="5"/>
        <v>1.4191574066666665E-2</v>
      </c>
      <c r="S12" s="187">
        <f t="shared" si="9"/>
        <v>6.2022083392225605E-3</v>
      </c>
      <c r="T12" s="200"/>
      <c r="U12" s="201">
        <f>SUM(S12/V$5)</f>
        <v>7.4426500070968435</v>
      </c>
      <c r="W12" s="203">
        <f>SUM(S12/X$5)</f>
        <v>0.51927397347811122</v>
      </c>
      <c r="X12" s="204"/>
      <c r="Z12" s="201">
        <f t="shared" si="6"/>
        <v>7.4426500070968435</v>
      </c>
      <c r="AA12" s="201"/>
      <c r="AB12" s="201">
        <f t="shared" si="7"/>
        <v>25.544833320102178</v>
      </c>
      <c r="AC12" s="201"/>
      <c r="AD12" s="201">
        <f t="shared" si="8"/>
        <v>0.51927397347811122</v>
      </c>
      <c r="AE12" s="201"/>
    </row>
    <row r="13" spans="1:32" s="205" customFormat="1" ht="15.75" thickBot="1" x14ac:dyDescent="0.3">
      <c r="A13" s="186" t="s">
        <v>91</v>
      </c>
      <c r="B13" s="187">
        <v>0.26231158038227043</v>
      </c>
      <c r="C13" s="188">
        <v>0.17486903148457048</v>
      </c>
      <c r="D13" s="189">
        <v>4</v>
      </c>
      <c r="E13" s="190">
        <v>3.9E-2</v>
      </c>
      <c r="F13" s="191"/>
      <c r="G13" s="192"/>
      <c r="H13" s="193">
        <f t="shared" si="0"/>
        <v>48.118479000192472</v>
      </c>
      <c r="I13" s="190">
        <f>SUM('opgave en invulling'!J11*0.5)</f>
        <v>4.0098732499999998E-2</v>
      </c>
      <c r="J13" s="194">
        <f t="shared" si="1"/>
        <v>90.577582560362316</v>
      </c>
      <c r="K13" s="195">
        <v>7.5481318800000002E-2</v>
      </c>
      <c r="L13" s="194"/>
      <c r="M13" s="196">
        <f t="shared" si="2"/>
        <v>0</v>
      </c>
      <c r="N13" s="194"/>
      <c r="O13" s="197">
        <f t="shared" si="3"/>
        <v>0</v>
      </c>
      <c r="P13" s="198"/>
      <c r="Q13" s="187">
        <f t="shared" si="4"/>
        <v>0.15458005129999999</v>
      </c>
      <c r="R13" s="199">
        <f t="shared" si="5"/>
        <v>0.10305336753333333</v>
      </c>
      <c r="S13" s="187">
        <f t="shared" si="9"/>
        <v>0.10773152908227043</v>
      </c>
      <c r="T13" s="200"/>
      <c r="U13" s="201">
        <f>SUM(S13/V$5)</f>
        <v>129.27783489924164</v>
      </c>
      <c r="V13" s="202" t="s">
        <v>60</v>
      </c>
      <c r="W13" s="203">
        <f>SUM(S13/X$5)</f>
        <v>9.01971944761139</v>
      </c>
      <c r="X13" s="204"/>
      <c r="Z13" s="201">
        <f t="shared" si="6"/>
        <v>129.27783489924164</v>
      </c>
      <c r="AA13" s="201"/>
      <c r="AB13" s="201">
        <f t="shared" si="7"/>
        <v>138.6960615605548</v>
      </c>
      <c r="AC13" s="201"/>
      <c r="AD13" s="201">
        <f t="shared" si="8"/>
        <v>13.01971944761139</v>
      </c>
      <c r="AE13" s="201"/>
    </row>
    <row r="14" spans="1:32" s="205" customFormat="1" ht="15.75" thickBot="1" x14ac:dyDescent="0.3">
      <c r="A14" s="186" t="s">
        <v>16</v>
      </c>
      <c r="B14" s="187">
        <v>2.2480359008075337E-2</v>
      </c>
      <c r="C14" s="188">
        <v>1.4986447039199333E-2</v>
      </c>
      <c r="D14" s="189"/>
      <c r="E14" s="196"/>
      <c r="F14" s="209"/>
      <c r="G14" s="192"/>
      <c r="H14" s="193">
        <f t="shared" si="0"/>
        <v>3.2419200000129678</v>
      </c>
      <c r="I14" s="190">
        <f>SUM('opgave en invulling'!J12*0.5)</f>
        <v>2.7016000000000002E-3</v>
      </c>
      <c r="J14" s="194">
        <f t="shared" si="1"/>
        <v>11.039460480044159</v>
      </c>
      <c r="K14" s="195">
        <v>9.1995504000000009E-3</v>
      </c>
      <c r="L14" s="194">
        <v>40</v>
      </c>
      <c r="M14" s="196">
        <f t="shared" si="2"/>
        <v>3.3333333333200002E-2</v>
      </c>
      <c r="N14" s="194"/>
      <c r="O14" s="197">
        <f t="shared" si="3"/>
        <v>0</v>
      </c>
      <c r="P14" s="198"/>
      <c r="Q14" s="187">
        <f t="shared" si="4"/>
        <v>4.5234483733200007E-2</v>
      </c>
      <c r="R14" s="199">
        <f t="shared" si="5"/>
        <v>3.0156322488800003E-2</v>
      </c>
      <c r="S14" s="187">
        <f t="shared" si="9"/>
        <v>-2.2754124725124669E-2</v>
      </c>
      <c r="T14" s="200"/>
      <c r="U14" s="201">
        <v>0</v>
      </c>
      <c r="W14" s="203">
        <v>0</v>
      </c>
      <c r="X14" s="204"/>
      <c r="Z14" s="201">
        <f t="shared" si="6"/>
        <v>40</v>
      </c>
      <c r="AA14" s="201"/>
      <c r="AB14" s="201">
        <f t="shared" si="7"/>
        <v>14.281380480057127</v>
      </c>
      <c r="AC14" s="201"/>
      <c r="AD14" s="201">
        <f t="shared" si="8"/>
        <v>0</v>
      </c>
      <c r="AE14" s="201"/>
    </row>
    <row r="15" spans="1:32" s="205" customFormat="1" ht="15.75" thickBot="1" x14ac:dyDescent="0.3">
      <c r="A15" s="186" t="s">
        <v>17</v>
      </c>
      <c r="B15" s="187">
        <v>0.26035676655548123</v>
      </c>
      <c r="C15" s="188">
        <v>0.173565862176814</v>
      </c>
      <c r="D15" s="189">
        <v>4</v>
      </c>
      <c r="E15" s="190">
        <f>SUM(D15*X5)</f>
        <v>4.7775999999999999E-2</v>
      </c>
      <c r="F15" s="191"/>
      <c r="G15" s="192"/>
      <c r="H15" s="193">
        <f t="shared" si="0"/>
        <v>28.478673600113915</v>
      </c>
      <c r="I15" s="190">
        <f>SUM('opgave en invulling'!J13*0.5)</f>
        <v>2.3732228000000001E-2</v>
      </c>
      <c r="J15" s="194">
        <f t="shared" si="1"/>
        <v>64.948948800259785</v>
      </c>
      <c r="K15" s="195">
        <v>5.4124123999999996E-2</v>
      </c>
      <c r="L15" s="194"/>
      <c r="M15" s="196">
        <f t="shared" si="2"/>
        <v>0</v>
      </c>
      <c r="N15" s="194"/>
      <c r="O15" s="197">
        <f t="shared" si="3"/>
        <v>0</v>
      </c>
      <c r="P15" s="198"/>
      <c r="Q15" s="187">
        <f t="shared" si="4"/>
        <v>0.125632352</v>
      </c>
      <c r="R15" s="199">
        <f t="shared" si="5"/>
        <v>8.375490133333334E-2</v>
      </c>
      <c r="S15" s="187">
        <f t="shared" si="9"/>
        <v>0.13472441455548123</v>
      </c>
      <c r="T15" s="200"/>
      <c r="U15" s="201">
        <f>SUM(S15/V$5)</f>
        <v>161.66929746722414</v>
      </c>
      <c r="W15" s="203">
        <f>SUM(S15/X$5)</f>
        <v>11.279673020385234</v>
      </c>
      <c r="X15" s="204"/>
      <c r="Z15" s="201">
        <f t="shared" si="6"/>
        <v>161.66929746722414</v>
      </c>
      <c r="AA15" s="201"/>
      <c r="AB15" s="201">
        <f t="shared" si="7"/>
        <v>93.427622400373707</v>
      </c>
      <c r="AC15" s="201"/>
      <c r="AD15" s="201">
        <f t="shared" si="8"/>
        <v>15.279673020385234</v>
      </c>
      <c r="AE15" s="201"/>
    </row>
    <row r="16" spans="1:32" s="205" customFormat="1" ht="15.75" thickBot="1" x14ac:dyDescent="0.3">
      <c r="A16" s="186" t="s">
        <v>18</v>
      </c>
      <c r="B16" s="187">
        <v>0.32865307462892751</v>
      </c>
      <c r="C16" s="188">
        <v>0.21909533986655547</v>
      </c>
      <c r="D16" s="189">
        <v>4</v>
      </c>
      <c r="E16" s="190">
        <v>4.8000000000000001E-2</v>
      </c>
      <c r="F16" s="207"/>
      <c r="G16" s="192">
        <f>SUM(F16*$X$5)</f>
        <v>0</v>
      </c>
      <c r="H16" s="193">
        <f t="shared" si="0"/>
        <v>11.984011200047936</v>
      </c>
      <c r="I16" s="190">
        <f>SUM('opgave en invulling'!J14*0.5)</f>
        <v>9.9866759999999999E-3</v>
      </c>
      <c r="J16" s="194">
        <f t="shared" si="1"/>
        <v>70.778867520283114</v>
      </c>
      <c r="K16" s="195">
        <v>5.8982389599999997E-2</v>
      </c>
      <c r="L16" s="194"/>
      <c r="M16" s="196">
        <f t="shared" si="2"/>
        <v>0</v>
      </c>
      <c r="N16" s="194"/>
      <c r="O16" s="197">
        <f t="shared" si="3"/>
        <v>0</v>
      </c>
      <c r="P16" s="198"/>
      <c r="Q16" s="187">
        <f t="shared" si="4"/>
        <v>0.11696906560000001</v>
      </c>
      <c r="R16" s="199">
        <f t="shared" si="5"/>
        <v>7.7979377066666675E-2</v>
      </c>
      <c r="S16" s="187">
        <f t="shared" si="9"/>
        <v>0.21168400902892751</v>
      </c>
      <c r="T16" s="200"/>
      <c r="U16" s="201">
        <f>SUM(S16/V$5)</f>
        <v>254.02081083572909</v>
      </c>
      <c r="W16" s="203">
        <f>SUM(S16/X$5)</f>
        <v>17.723041613272564</v>
      </c>
      <c r="X16" s="204"/>
      <c r="Z16" s="201">
        <f t="shared" si="6"/>
        <v>254.02081083572909</v>
      </c>
      <c r="AA16" s="201"/>
      <c r="AB16" s="201">
        <f t="shared" si="7"/>
        <v>82.762878720331045</v>
      </c>
      <c r="AC16" s="201"/>
      <c r="AD16" s="201">
        <f t="shared" si="8"/>
        <v>21.723041613272564</v>
      </c>
      <c r="AE16" s="201"/>
    </row>
    <row r="17" spans="1:31" s="205" customFormat="1" ht="15.75" thickBot="1" x14ac:dyDescent="0.3">
      <c r="A17" s="186" t="s">
        <v>19</v>
      </c>
      <c r="B17" s="187">
        <v>2.8466976352617142E-2</v>
      </c>
      <c r="C17" s="188">
        <v>1.8977403044203502E-2</v>
      </c>
      <c r="D17" s="208"/>
      <c r="E17" s="196"/>
      <c r="F17" s="209"/>
      <c r="G17" s="192"/>
      <c r="H17" s="193">
        <f t="shared" si="0"/>
        <v>13.685892000054743</v>
      </c>
      <c r="I17" s="190">
        <f>SUM('opgave en invulling'!J15*0.5)</f>
        <v>1.1404909999999999E-2</v>
      </c>
      <c r="J17" s="194">
        <f t="shared" si="1"/>
        <v>21.201210720084802</v>
      </c>
      <c r="K17" s="195">
        <v>1.7667675599999998E-2</v>
      </c>
      <c r="L17" s="191">
        <v>8</v>
      </c>
      <c r="M17" s="196">
        <f t="shared" si="2"/>
        <v>6.6666666666400001E-3</v>
      </c>
      <c r="N17" s="194">
        <v>42</v>
      </c>
      <c r="O17" s="197">
        <f t="shared" si="3"/>
        <v>3.4999999999859997E-2</v>
      </c>
      <c r="P17" s="198"/>
      <c r="Q17" s="187">
        <f t="shared" si="4"/>
        <v>7.0739252266499991E-2</v>
      </c>
      <c r="R17" s="199">
        <f t="shared" si="5"/>
        <v>4.7159501510999992E-2</v>
      </c>
      <c r="S17" s="187">
        <f t="shared" si="9"/>
        <v>-4.2272275913882849E-2</v>
      </c>
      <c r="T17" s="200"/>
      <c r="U17" s="201">
        <v>0</v>
      </c>
      <c r="W17" s="203">
        <v>0</v>
      </c>
      <c r="X17" s="204"/>
      <c r="Z17" s="201">
        <f t="shared" si="6"/>
        <v>50</v>
      </c>
      <c r="AA17" s="201"/>
      <c r="AB17" s="201">
        <f t="shared" si="7"/>
        <v>34.887102720139545</v>
      </c>
      <c r="AC17" s="201"/>
      <c r="AD17" s="201">
        <f t="shared" si="8"/>
        <v>0</v>
      </c>
      <c r="AE17" s="201"/>
    </row>
    <row r="18" spans="1:31" s="205" customFormat="1" ht="15.75" thickBot="1" x14ac:dyDescent="0.3">
      <c r="A18" s="186" t="s">
        <v>20</v>
      </c>
      <c r="B18" s="187">
        <v>3.5675352338902171E-2</v>
      </c>
      <c r="C18" s="188">
        <v>2.3782839866555463E-2</v>
      </c>
      <c r="D18" s="208"/>
      <c r="E18" s="196"/>
      <c r="F18" s="209"/>
      <c r="G18" s="192"/>
      <c r="H18" s="193">
        <f t="shared" si="0"/>
        <v>1.9076220000076305</v>
      </c>
      <c r="I18" s="190">
        <f>SUM('opgave en invulling'!J16*0.5)</f>
        <v>1.589685E-3</v>
      </c>
      <c r="J18" s="194">
        <f t="shared" si="1"/>
        <v>10.489549920041958</v>
      </c>
      <c r="K18" s="195">
        <v>8.7412915999999993E-3</v>
      </c>
      <c r="L18" s="194"/>
      <c r="M18" s="196">
        <f t="shared" si="2"/>
        <v>0</v>
      </c>
      <c r="N18" s="194"/>
      <c r="O18" s="197">
        <f t="shared" si="3"/>
        <v>0</v>
      </c>
      <c r="P18" s="198"/>
      <c r="Q18" s="187">
        <f t="shared" si="4"/>
        <v>1.03309766E-2</v>
      </c>
      <c r="R18" s="199">
        <f t="shared" si="5"/>
        <v>6.8873177333333329E-3</v>
      </c>
      <c r="S18" s="187">
        <f t="shared" si="9"/>
        <v>2.5344375738902171E-2</v>
      </c>
      <c r="T18" s="200"/>
      <c r="U18" s="201">
        <f>SUM(S18/V$5)</f>
        <v>30.413250886804256</v>
      </c>
      <c r="W18" s="203">
        <f>SUM(S18/X$5)</f>
        <v>2.1219336686957613</v>
      </c>
      <c r="X18" s="204"/>
      <c r="Z18" s="201">
        <f t="shared" si="6"/>
        <v>30.413250886804256</v>
      </c>
      <c r="AA18" s="201"/>
      <c r="AB18" s="201">
        <f t="shared" si="7"/>
        <v>12.397171920049589</v>
      </c>
      <c r="AC18" s="201"/>
      <c r="AD18" s="201">
        <f t="shared" si="8"/>
        <v>2.1219336686957613</v>
      </c>
      <c r="AE18" s="201"/>
    </row>
    <row r="19" spans="1:31" s="205" customFormat="1" ht="15.75" thickBot="1" x14ac:dyDescent="0.3">
      <c r="A19" s="186" t="s">
        <v>21</v>
      </c>
      <c r="B19" s="187">
        <v>0.11484531232386314</v>
      </c>
      <c r="C19" s="188">
        <v>7.6561196830692235E-2</v>
      </c>
      <c r="D19" s="208"/>
      <c r="E19" s="196"/>
      <c r="F19" s="209"/>
      <c r="G19" s="192"/>
      <c r="H19" s="193">
        <f t="shared" si="0"/>
        <v>15.19197600006077</v>
      </c>
      <c r="I19" s="190">
        <f>SUM('opgave en invulling'!J17*0.5)</f>
        <v>1.2659980000000001E-2</v>
      </c>
      <c r="J19" s="194">
        <f t="shared" si="1"/>
        <v>35.072150880140292</v>
      </c>
      <c r="K19" s="213">
        <v>2.9226792400000003E-2</v>
      </c>
      <c r="L19" s="194"/>
      <c r="M19" s="196">
        <f t="shared" si="2"/>
        <v>0</v>
      </c>
      <c r="N19" s="194"/>
      <c r="O19" s="197">
        <f t="shared" si="3"/>
        <v>0</v>
      </c>
      <c r="P19" s="198"/>
      <c r="Q19" s="187">
        <f t="shared" si="4"/>
        <v>4.1886772400000008E-2</v>
      </c>
      <c r="R19" s="199">
        <f t="shared" si="5"/>
        <v>2.7924514933333339E-2</v>
      </c>
      <c r="S19" s="187">
        <f t="shared" si="9"/>
        <v>7.2958539923863128E-2</v>
      </c>
      <c r="T19" s="200"/>
      <c r="U19" s="201">
        <f>SUM(S19/V$5)</f>
        <v>87.550247908985952</v>
      </c>
      <c r="W19" s="203">
        <f>SUM(S19/X$5)</f>
        <v>6.1083841195464776</v>
      </c>
      <c r="X19" s="204"/>
      <c r="Z19" s="201">
        <f t="shared" si="6"/>
        <v>87.550247908985952</v>
      </c>
      <c r="AA19" s="201"/>
      <c r="AB19" s="201">
        <f t="shared" si="7"/>
        <v>50.264126880201061</v>
      </c>
      <c r="AC19" s="201"/>
      <c r="AD19" s="201">
        <f t="shared" si="8"/>
        <v>6.1083841195464776</v>
      </c>
      <c r="AE19" s="201"/>
    </row>
    <row r="20" spans="1:31" s="205" customFormat="1" ht="15.75" thickBot="1" x14ac:dyDescent="0.3">
      <c r="A20" s="186" t="s">
        <v>22</v>
      </c>
      <c r="B20" s="187">
        <v>4.7061165473035627E-2</v>
      </c>
      <c r="C20" s="188">
        <v>3.1465022935779817E-2</v>
      </c>
      <c r="D20" s="208"/>
      <c r="E20" s="196"/>
      <c r="F20" s="209"/>
      <c r="G20" s="192"/>
      <c r="H20" s="193">
        <f t="shared" si="0"/>
        <v>4.3965824460175869</v>
      </c>
      <c r="I20" s="190">
        <f>SUM('opgave en invulling'!J18*0.5)</f>
        <v>3.6638187050000003E-3</v>
      </c>
      <c r="J20" s="194">
        <f t="shared" si="1"/>
        <v>11.051951712044209</v>
      </c>
      <c r="K20" s="210">
        <v>9.2099597600000006E-3</v>
      </c>
      <c r="L20" s="194"/>
      <c r="M20" s="196">
        <f t="shared" si="2"/>
        <v>0</v>
      </c>
      <c r="N20" s="211"/>
      <c r="O20" s="197">
        <f t="shared" si="3"/>
        <v>0</v>
      </c>
      <c r="P20" s="198"/>
      <c r="Q20" s="187">
        <f t="shared" si="4"/>
        <v>1.2873778465000001E-2</v>
      </c>
      <c r="R20" s="199">
        <f t="shared" si="5"/>
        <v>8.5825189766666667E-3</v>
      </c>
      <c r="S20" s="187">
        <f t="shared" si="9"/>
        <v>3.4187387008035627E-2</v>
      </c>
      <c r="T20" s="200"/>
      <c r="U20" s="201">
        <f>SUM(S20/V$5)</f>
        <v>41.024864409806852</v>
      </c>
      <c r="V20" s="212"/>
      <c r="W20" s="203">
        <f>SUM(S20/X$5)</f>
        <v>2.8623063469554277</v>
      </c>
      <c r="X20" s="204"/>
      <c r="Z20" s="201">
        <f t="shared" si="6"/>
        <v>41.024864409806852</v>
      </c>
      <c r="AA20" s="201"/>
      <c r="AB20" s="201">
        <f t="shared" si="7"/>
        <v>15.448534158061797</v>
      </c>
      <c r="AC20" s="201"/>
      <c r="AD20" s="201">
        <f t="shared" si="8"/>
        <v>2.8623063469554277</v>
      </c>
      <c r="AE20" s="201"/>
    </row>
    <row r="21" spans="1:31" s="156" customFormat="1" ht="15.75" thickBot="1" x14ac:dyDescent="0.3">
      <c r="A21" s="143" t="s">
        <v>23</v>
      </c>
      <c r="B21" s="153">
        <f>SUM(B6:B20)</f>
        <v>1.5</v>
      </c>
      <c r="C21" s="144">
        <f>SUM(C6:C20)</f>
        <v>1</v>
      </c>
      <c r="D21" s="145">
        <f t="shared" ref="D21:Q21" si="10">SUM(D6:D20)</f>
        <v>12</v>
      </c>
      <c r="E21" s="146">
        <f t="shared" si="10"/>
        <v>0.13477600000000001</v>
      </c>
      <c r="F21" s="147">
        <f t="shared" si="10"/>
        <v>0</v>
      </c>
      <c r="G21" s="148">
        <f t="shared" si="10"/>
        <v>0</v>
      </c>
      <c r="H21" s="145">
        <f t="shared" si="10"/>
        <v>208.77040372883508</v>
      </c>
      <c r="I21" s="146">
        <f t="shared" si="10"/>
        <v>0.17397533643999996</v>
      </c>
      <c r="J21" s="147">
        <f t="shared" si="10"/>
        <v>452.21378361780887</v>
      </c>
      <c r="K21" s="149">
        <f t="shared" si="10"/>
        <v>0.37684481967999994</v>
      </c>
      <c r="L21" s="147">
        <f t="shared" si="10"/>
        <v>128</v>
      </c>
      <c r="M21" s="150">
        <f>SUM(M6:M20)</f>
        <v>0.10666666666624</v>
      </c>
      <c r="N21" s="147">
        <f t="shared" si="10"/>
        <v>42</v>
      </c>
      <c r="O21" s="151">
        <f t="shared" si="10"/>
        <v>3.4999999999859997E-2</v>
      </c>
      <c r="P21" s="152"/>
      <c r="Q21" s="153">
        <f t="shared" si="10"/>
        <v>0.82726282278610008</v>
      </c>
      <c r="R21" s="160">
        <f>SUM(R6:R20)</f>
        <v>0.55150854852406661</v>
      </c>
      <c r="S21" s="153">
        <f>SUM(B21-Q21)</f>
        <v>0.67273717721389992</v>
      </c>
      <c r="T21" s="154"/>
      <c r="U21" s="155">
        <f>SUM(U6:U20)</f>
        <v>871.60294485057364</v>
      </c>
      <c r="W21" s="157">
        <f>SUM(W6:W20)</f>
        <v>60.811770543584451</v>
      </c>
      <c r="Z21" s="155">
        <f>SUM(Z6:Z20)</f>
        <v>1041.6029448505737</v>
      </c>
      <c r="AA21" s="158">
        <f>SUM(Z21*V5)</f>
        <v>0.86800245403867282</v>
      </c>
      <c r="AB21" s="155">
        <f>SUM(AB6:AB20)</f>
        <v>660.98418734664381</v>
      </c>
      <c r="AC21" s="158">
        <f>SUM(AB21*V5)</f>
        <v>0.5508201561199999</v>
      </c>
      <c r="AD21" s="155">
        <f>SUM(AD6:AD20)</f>
        <v>72.811770543584444</v>
      </c>
      <c r="AE21" s="159">
        <f>SUM(AD21*X5)</f>
        <v>0.86966378737257255</v>
      </c>
    </row>
    <row r="22" spans="1:31" x14ac:dyDescent="0.25">
      <c r="D22" t="s">
        <v>119</v>
      </c>
      <c r="H22" t="s">
        <v>120</v>
      </c>
      <c r="S22" t="s">
        <v>118</v>
      </c>
      <c r="T22" s="49"/>
      <c r="AA22" s="117">
        <f>SUM(AA21/Q$21)</f>
        <v>1.0492462977066559</v>
      </c>
      <c r="AC22" s="117">
        <f>SUM(AC21/Q$21)</f>
        <v>0.66583453401776027</v>
      </c>
      <c r="AE22" s="117">
        <f>SUM(AE21/Q$21)</f>
        <v>1.0512545268789817</v>
      </c>
    </row>
    <row r="23" spans="1:31" x14ac:dyDescent="0.25">
      <c r="S23" s="48"/>
      <c r="T23" s="140"/>
      <c r="U23">
        <v>11</v>
      </c>
      <c r="V23">
        <f>SUM(U23*V5)</f>
        <v>9.1666666666299999E-3</v>
      </c>
      <c r="AA23" t="s">
        <v>93</v>
      </c>
      <c r="AC23" t="s">
        <v>88</v>
      </c>
      <c r="AE23" t="s">
        <v>94</v>
      </c>
    </row>
    <row r="24" spans="1:31" x14ac:dyDescent="0.25">
      <c r="T24" s="49"/>
    </row>
    <row r="25" spans="1:31" x14ac:dyDescent="0.25">
      <c r="T25" s="49"/>
      <c r="AB25" s="54">
        <f>AA22+AC22</f>
        <v>1.7150808317244162</v>
      </c>
    </row>
    <row r="26" spans="1:31" x14ac:dyDescent="0.25">
      <c r="T26" s="49"/>
    </row>
    <row r="27" spans="1:31" x14ac:dyDescent="0.25">
      <c r="A27" s="118"/>
      <c r="T27" s="49"/>
    </row>
    <row r="28" spans="1:31" x14ac:dyDescent="0.25">
      <c r="A28" s="118"/>
    </row>
    <row r="29" spans="1:31" x14ac:dyDescent="0.25">
      <c r="A29" s="118"/>
    </row>
    <row r="30" spans="1:31" x14ac:dyDescent="0.25">
      <c r="A30" s="118"/>
    </row>
  </sheetData>
  <mergeCells count="14">
    <mergeCell ref="Z4:AE4"/>
    <mergeCell ref="U3:X3"/>
    <mergeCell ref="H3:K3"/>
    <mergeCell ref="L3:O3"/>
    <mergeCell ref="Q3:S3"/>
    <mergeCell ref="L4:M4"/>
    <mergeCell ref="B3:C3"/>
    <mergeCell ref="R4:S4"/>
    <mergeCell ref="B4:C4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orientation="portrait" r:id="rId1"/>
  <ignoredErrors>
    <ignoredError sqref="S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Blad1</vt:lpstr>
      <vt:lpstr>Blad2</vt:lpstr>
      <vt:lpstr>Blad3</vt:lpstr>
      <vt:lpstr>opgave en invulling</vt:lpstr>
      <vt:lpstr>opgave en invulling 50% SDE </vt:lpstr>
      <vt:lpstr>opgave en invulling 10 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Janssen</dc:creator>
  <cp:lastModifiedBy>Liselotte van den Broek</cp:lastModifiedBy>
  <dcterms:created xsi:type="dcterms:W3CDTF">2019-11-22T10:33:25Z</dcterms:created>
  <dcterms:modified xsi:type="dcterms:W3CDTF">2020-02-06T14:10:04Z</dcterms:modified>
</cp:coreProperties>
</file>